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a\Desktop\Valuation\Valuation\Case_Studies\Rosneft_2026\Rosneft\"/>
    </mc:Choice>
  </mc:AlternateContent>
  <xr:revisionPtr revIDLastSave="0" documentId="13_ncr:1_{9BCAE217-9DB1-48C7-B439-7035269CA469}" xr6:coauthVersionLast="47" xr6:coauthVersionMax="47" xr10:uidLastSave="{00000000-0000-0000-0000-000000000000}"/>
  <bookViews>
    <workbookView xWindow="-110" yWindow="-110" windowWidth="19420" windowHeight="11500" tabRatio="870" firstSheet="1" activeTab="1" xr2:uid="{608A0F95-C411-4E87-BE42-51159C3A09C7}"/>
  </bookViews>
  <sheets>
    <sheet name="__FDSCACHE__" sheetId="6" state="veryHidden" r:id="rId1"/>
    <sheet name="DCF" sheetId="8" r:id="rId2"/>
    <sheet name="WACC" sheetId="7" r:id="rId3"/>
    <sheet name="CAPM" sheetId="11" r:id="rId4"/>
    <sheet name="IS" sheetId="3" r:id="rId5"/>
    <sheet name="BS" sheetId="4" r:id="rId6"/>
    <sheet name="Vostok_Production" sheetId="9" r:id="rId7"/>
    <sheet name="Oil_assumptions" sheetId="12" r:id="rId8"/>
    <sheet name="FX_Data" sheetId="10" state="hidden" r:id="rId9"/>
  </sheets>
  <externalReferences>
    <externalReference r:id="rId10"/>
    <externalReference r:id="rId11"/>
    <externalReference r:id="rId12"/>
  </externalReferences>
  <definedNames>
    <definedName name="CASE">'[1]Operating Model'!#REF!</definedName>
    <definedName name="CIRC">'[1]Operating Model'!#REF!</definedName>
    <definedName name="PIK">[2]LBO!$E$8</definedName>
    <definedName name="tgr" localSheetId="1">DCF!$D$10</definedName>
    <definedName name="tgr" localSheetId="2">WACC!#REF!</definedName>
    <definedName name="tgr">#REF!</definedName>
    <definedName name="wacc" localSheetId="1">DCF!$D$9</definedName>
    <definedName name="wacc" localSheetId="2">WACC!#REF!</definedName>
    <definedName name="wacc">#REF!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8" l="1"/>
  <c r="I50" i="8"/>
  <c r="K24" i="8"/>
  <c r="C9" i="11"/>
  <c r="A2" i="10" l="1" a="1"/>
  <c r="A2" i="10" s="1"/>
  <c r="K8" i="9" s="1"/>
  <c r="F30" i="12"/>
  <c r="E30" i="12"/>
  <c r="D30" i="12"/>
  <c r="C30" i="12"/>
  <c r="F28" i="12"/>
  <c r="E28" i="12"/>
  <c r="D28" i="12"/>
  <c r="C28" i="12"/>
  <c r="F27" i="12"/>
  <c r="E27" i="12"/>
  <c r="E29" i="12" s="1"/>
  <c r="E31" i="12" s="1"/>
  <c r="D27" i="12"/>
  <c r="D29" i="12" s="1"/>
  <c r="D31" i="12" s="1"/>
  <c r="C27" i="12"/>
  <c r="F13" i="12"/>
  <c r="E13" i="12"/>
  <c r="D13" i="12"/>
  <c r="C13" i="12"/>
  <c r="F12" i="12"/>
  <c r="F8" i="12" s="1"/>
  <c r="E12" i="12"/>
  <c r="E9" i="12" s="1"/>
  <c r="D12" i="12"/>
  <c r="D9" i="12" s="1"/>
  <c r="C12" i="12"/>
  <c r="F7" i="9"/>
  <c r="G7" i="9" s="1"/>
  <c r="G5" i="9"/>
  <c r="G6" i="9" s="1"/>
  <c r="F5" i="9"/>
  <c r="F6" i="9" s="1"/>
  <c r="C5" i="9"/>
  <c r="C6" i="9" s="1"/>
  <c r="E4" i="9"/>
  <c r="E5" i="9" s="1"/>
  <c r="E6" i="9" s="1"/>
  <c r="D4" i="9"/>
  <c r="D5" i="9" s="1"/>
  <c r="D6" i="9" s="1"/>
  <c r="D20" i="7"/>
  <c r="D14" i="7" s="1"/>
  <c r="D19" i="7"/>
  <c r="D18" i="7"/>
  <c r="D17" i="7"/>
  <c r="D16" i="7"/>
  <c r="N39" i="3"/>
  <c r="M39" i="3"/>
  <c r="L39" i="3"/>
  <c r="N37" i="3"/>
  <c r="M37" i="3"/>
  <c r="L37" i="3"/>
  <c r="N34" i="3"/>
  <c r="M34" i="3"/>
  <c r="L34" i="3"/>
  <c r="N33" i="3"/>
  <c r="M33" i="3"/>
  <c r="L33" i="3"/>
  <c r="N32" i="3"/>
  <c r="M32" i="3"/>
  <c r="L32" i="3"/>
  <c r="O15" i="3"/>
  <c r="E50" i="8"/>
  <c r="I47" i="8"/>
  <c r="H39" i="8"/>
  <c r="G39" i="8"/>
  <c r="F39" i="8"/>
  <c r="N32" i="8"/>
  <c r="M32" i="8"/>
  <c r="L32" i="8"/>
  <c r="K32" i="8"/>
  <c r="J32" i="8"/>
  <c r="I32" i="8"/>
  <c r="H32" i="8"/>
  <c r="G32" i="8"/>
  <c r="F32" i="8"/>
  <c r="E32" i="8"/>
  <c r="H29" i="8"/>
  <c r="H50" i="8" s="1"/>
  <c r="G29" i="8"/>
  <c r="F29" i="8"/>
  <c r="I26" i="8"/>
  <c r="H26" i="8"/>
  <c r="G26" i="8"/>
  <c r="G47" i="8" s="1"/>
  <c r="F26" i="8"/>
  <c r="E26" i="8"/>
  <c r="H23" i="8"/>
  <c r="H44" i="8" s="1"/>
  <c r="G23" i="8"/>
  <c r="G44" i="8" s="1"/>
  <c r="F23" i="8"/>
  <c r="F44" i="8" s="1"/>
  <c r="E23" i="8"/>
  <c r="E44" i="8" s="1"/>
  <c r="H19" i="8"/>
  <c r="G19" i="8"/>
  <c r="F19" i="8"/>
  <c r="E19" i="8"/>
  <c r="H16" i="8"/>
  <c r="H36" i="8" s="1"/>
  <c r="G16" i="8"/>
  <c r="G36" i="8" s="1"/>
  <c r="F16" i="8"/>
  <c r="F36" i="8" s="1"/>
  <c r="F42" i="8" s="1"/>
  <c r="E16" i="8"/>
  <c r="E36" i="8" s="1"/>
  <c r="E39" i="8" s="1"/>
  <c r="E42" i="8" s="1"/>
  <c r="I13" i="8"/>
  <c r="H13" i="8"/>
  <c r="H33" i="8" s="1"/>
  <c r="G13" i="8"/>
  <c r="F13" i="8"/>
  <c r="E13" i="8"/>
  <c r="E30" i="8" s="1"/>
  <c r="H51" i="8" l="1"/>
  <c r="G8" i="9"/>
  <c r="I27" i="8"/>
  <c r="J27" i="8" s="1"/>
  <c r="G40" i="8"/>
  <c r="G14" i="8"/>
  <c r="E27" i="8"/>
  <c r="H40" i="8"/>
  <c r="H27" i="8"/>
  <c r="D9" i="7"/>
  <c r="F9" i="12"/>
  <c r="F29" i="12"/>
  <c r="F31" i="12" s="1"/>
  <c r="F32" i="12" s="1"/>
  <c r="H47" i="8"/>
  <c r="H48" i="8" s="1"/>
  <c r="H20" i="8"/>
  <c r="E33" i="8"/>
  <c r="E51" i="8" s="1"/>
  <c r="F14" i="8"/>
  <c r="E24" i="8"/>
  <c r="F24" i="8"/>
  <c r="F40" i="8"/>
  <c r="D15" i="7"/>
  <c r="G9" i="9"/>
  <c r="J48" i="8"/>
  <c r="K27" i="8"/>
  <c r="H34" i="8"/>
  <c r="H45" i="8"/>
  <c r="G24" i="8"/>
  <c r="E37" i="8"/>
  <c r="C8" i="12"/>
  <c r="C7" i="9" s="1"/>
  <c r="C8" i="9" s="1"/>
  <c r="C9" i="9" s="1"/>
  <c r="C9" i="12"/>
  <c r="I33" i="8"/>
  <c r="I34" i="8" s="1"/>
  <c r="F20" i="8"/>
  <c r="G20" i="8"/>
  <c r="F27" i="8"/>
  <c r="H30" i="8"/>
  <c r="E32" i="12"/>
  <c r="E17" i="8"/>
  <c r="H42" i="8"/>
  <c r="H37" i="8"/>
  <c r="F17" i="8"/>
  <c r="G30" i="8"/>
  <c r="G50" i="8"/>
  <c r="F33" i="8"/>
  <c r="F8" i="9"/>
  <c r="F9" i="9" s="1"/>
  <c r="F37" i="8"/>
  <c r="G33" i="8"/>
  <c r="G45" i="8" s="1"/>
  <c r="C29" i="12"/>
  <c r="C31" i="12" s="1"/>
  <c r="D32" i="12" s="1"/>
  <c r="E20" i="8"/>
  <c r="H24" i="8"/>
  <c r="G42" i="8"/>
  <c r="G27" i="8"/>
  <c r="I28" i="8"/>
  <c r="I29" i="8" s="1"/>
  <c r="H14" i="8"/>
  <c r="I14" i="8"/>
  <c r="F30" i="8"/>
  <c r="G17" i="8"/>
  <c r="H17" i="8"/>
  <c r="E47" i="8"/>
  <c r="D8" i="12"/>
  <c r="D7" i="9" s="1"/>
  <c r="D8" i="9" s="1"/>
  <c r="D9" i="9" s="1"/>
  <c r="F47" i="8"/>
  <c r="F50" i="8"/>
  <c r="E8" i="12"/>
  <c r="E7" i="9" s="1"/>
  <c r="E8" i="9" s="1"/>
  <c r="E9" i="9" s="1"/>
  <c r="L16" i="8" l="1"/>
  <c r="J13" i="8"/>
  <c r="J14" i="8" s="1"/>
  <c r="J34" i="8" s="1"/>
  <c r="L13" i="8"/>
  <c r="L28" i="8" s="1"/>
  <c r="K13" i="8"/>
  <c r="K36" i="8" s="1"/>
  <c r="M13" i="8"/>
  <c r="M28" i="8" s="1"/>
  <c r="G37" i="8"/>
  <c r="G48" i="8"/>
  <c r="D22" i="7"/>
  <c r="D9" i="8" s="1"/>
  <c r="G51" i="8"/>
  <c r="I40" i="8"/>
  <c r="F34" i="8"/>
  <c r="I24" i="8"/>
  <c r="I23" i="8" s="1"/>
  <c r="E48" i="8"/>
  <c r="F51" i="8"/>
  <c r="F48" i="8"/>
  <c r="E45" i="8"/>
  <c r="K33" i="8"/>
  <c r="K28" i="8"/>
  <c r="K26" i="8"/>
  <c r="K47" i="8" s="1"/>
  <c r="F45" i="8"/>
  <c r="I51" i="8"/>
  <c r="I30" i="8"/>
  <c r="K48" i="8"/>
  <c r="L27" i="8"/>
  <c r="I48" i="8"/>
  <c r="G34" i="8"/>
  <c r="J33" i="8" l="1"/>
  <c r="J16" i="8"/>
  <c r="J36" i="8" s="1"/>
  <c r="M16" i="8"/>
  <c r="M36" i="8" s="1"/>
  <c r="K14" i="8"/>
  <c r="K34" i="8" s="1"/>
  <c r="L33" i="8"/>
  <c r="J26" i="8"/>
  <c r="J47" i="8" s="1"/>
  <c r="J28" i="8"/>
  <c r="J29" i="8" s="1"/>
  <c r="J50" i="8" s="1"/>
  <c r="L14" i="8"/>
  <c r="L34" i="8" s="1"/>
  <c r="M14" i="8"/>
  <c r="M34" i="8" s="1"/>
  <c r="M33" i="8"/>
  <c r="J24" i="8"/>
  <c r="J23" i="8" s="1"/>
  <c r="J44" i="8" s="1"/>
  <c r="J17" i="8"/>
  <c r="J37" i="8" s="1"/>
  <c r="M29" i="8"/>
  <c r="M50" i="8" s="1"/>
  <c r="M17" i="8"/>
  <c r="M37" i="8" s="1"/>
  <c r="I44" i="8"/>
  <c r="I45" i="8" s="1"/>
  <c r="I16" i="8"/>
  <c r="L48" i="8"/>
  <c r="M27" i="8"/>
  <c r="L17" i="8"/>
  <c r="L37" i="8" s="1"/>
  <c r="L36" i="8"/>
  <c r="L26" i="8"/>
  <c r="L47" i="8" s="1"/>
  <c r="L29" i="8"/>
  <c r="L50" i="8" s="1"/>
  <c r="K17" i="8"/>
  <c r="K37" i="8" s="1"/>
  <c r="J45" i="8"/>
  <c r="J30" i="8" l="1"/>
  <c r="J51" i="8" s="1"/>
  <c r="K29" i="8"/>
  <c r="M30" i="8"/>
  <c r="M51" i="8"/>
  <c r="L30" i="8"/>
  <c r="L51" i="8"/>
  <c r="I17" i="8"/>
  <c r="I36" i="8"/>
  <c r="I19" i="8"/>
  <c r="I20" i="8" s="1"/>
  <c r="L24" i="8"/>
  <c r="K45" i="8"/>
  <c r="K23" i="8"/>
  <c r="K44" i="8" s="1"/>
  <c r="M48" i="8"/>
  <c r="M26" i="8"/>
  <c r="M47" i="8" s="1"/>
  <c r="K50" i="8" l="1"/>
  <c r="K51" i="8" s="1"/>
  <c r="K30" i="8"/>
  <c r="M24" i="8"/>
  <c r="L45" i="8"/>
  <c r="L23" i="8"/>
  <c r="L44" i="8" s="1"/>
  <c r="J20" i="8"/>
  <c r="I37" i="8"/>
  <c r="I39" i="8"/>
  <c r="I42" i="8"/>
  <c r="I53" i="8" s="1"/>
  <c r="I54" i="8" s="1"/>
  <c r="J40" i="8" l="1"/>
  <c r="J19" i="8"/>
  <c r="J39" i="8" s="1"/>
  <c r="J42" i="8" s="1"/>
  <c r="J53" i="8" s="1"/>
  <c r="J54" i="8" s="1"/>
  <c r="K20" i="8"/>
  <c r="M45" i="8"/>
  <c r="M23" i="8"/>
  <c r="M44" i="8" s="1"/>
  <c r="K40" i="8" l="1"/>
  <c r="K19" i="8"/>
  <c r="K39" i="8" s="1"/>
  <c r="K42" i="8" s="1"/>
  <c r="K53" i="8" s="1"/>
  <c r="K54" i="8" s="1"/>
  <c r="L20" i="8"/>
  <c r="M20" i="8"/>
  <c r="M40" i="8" l="1"/>
  <c r="M19" i="8"/>
  <c r="M39" i="8" s="1"/>
  <c r="M42" i="8" s="1"/>
  <c r="M53" i="8" s="1"/>
  <c r="M56" i="8" s="1"/>
  <c r="M57" i="8" s="1"/>
  <c r="L40" i="8"/>
  <c r="L19" i="8"/>
  <c r="L39" i="8" s="1"/>
  <c r="L42" i="8" s="1"/>
  <c r="L53" i="8" s="1"/>
  <c r="L54" i="8" s="1"/>
  <c r="M54" i="8" l="1"/>
  <c r="M58" i="8" s="1"/>
  <c r="M61" i="8" l="1"/>
  <c r="M63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 Chon</author>
  </authors>
  <commentList>
    <comment ref="A1" authorId="0" shapeId="0" xr:uid="{94DFBBEB-3902-49B6-BE75-B8C7EF0A6481}">
      <text>
        <r>
          <rPr>
            <b/>
            <sz val="9"/>
            <color indexed="81"/>
            <rFont val="Tahoma"/>
            <family val="2"/>
          </rPr>
          <t>&lt;?xml version="1.0" encoding="utf-8"?&gt;&lt;Schema xmlns:xsd="http://www.w3.org/2001/XMLSchema" xmlns:xsi="http://www.w3.org/2001/XMLSchema-instance" Version="2" Timestamp="1658677764"&gt;&lt;FQL&gt;&lt;Q&gt;AMZN^FE_ESTIMATE(DEP_AMORT_EXP,MEAN,ANN_ROLL,2022,NOW,,,'')&lt;/Q&gt;&lt;R&gt;1&lt;/R&gt;&lt;C&gt;1&lt;/C&gt;&lt;D xsi:type="xsd:double"&gt;38716.438&lt;/D&gt;&lt;/FQL&gt;&lt;FQL&gt;&lt;Q&gt;AMZN^FE_ESTIMATE(DEP_AMORT_EXP,MEAN,ANN_ROLL,2023,NOW,,,'')&lt;/Q&gt;&lt;R&gt;1&lt;/R&gt;&lt;C&gt;1&lt;/C&gt;&lt;D xsi:type="xsd:double"&gt;44728.72&lt;/D&gt;&lt;/FQL&gt;&lt;FQL&gt;&lt;Q&gt;AMZN^FE_ESTIMATE(DEP_AMORT_EXP,MEAN,ANN_ROLL,2024,NOW,,,'')&lt;/Q&gt;&lt;R&gt;1&lt;/R&gt;&lt;C&gt;1&lt;/C&gt;&lt;D xsi:type="xsd:double"&gt;52136.97&lt;/D&gt;&lt;/FQL&gt;&lt;FQL&gt;&lt;Q&gt;AMZN^FE_ESTIMATE(DEP_AMORT_EXP,MEAN,ANN_ROLL,2025,NOW,,,'')&lt;/Q&gt;&lt;R&gt;1&lt;/R&gt;&lt;C&gt;1&lt;/C&gt;&lt;D xsi:type="xsd:double"&gt;55507.54&lt;/D&gt;&lt;/FQL&gt;&lt;FQL&gt;&lt;Q&gt;AMZN^FE_ESTIMATE(DEP_AMORT_EXP,MEAN,ANN_ROLL,2026,NOW,,,'')&lt;/Q&gt;&lt;R&gt;1&lt;/R&gt;&lt;C&gt;1&lt;/C&gt;&lt;D xsi:type="xsd:double"&gt;58234.55&lt;/D&gt;&lt;/FQL&gt;&lt;FQL&gt;&lt;Q&gt;AMZN^FE_ESTIMATE(DEP_AMORT_EXP,MEAN,ANN_ROLL,2027,NOW,,,'')&lt;/Q&gt;&lt;R&gt;1&lt;/R&gt;&lt;C&gt;1&lt;/C&gt;&lt;D xsi:type="xsd:double"&gt;64625&lt;/D&gt;&lt;/FQL&gt;&lt;FQL&gt;&lt;Q&gt;AMZN^FE_ESTIMATE(CAPEX,MEAN,ANN_ROLL,2022,NOW,,,'')&lt;/Q&gt;&lt;R&gt;1&lt;/R&gt;&lt;C&gt;1&lt;/C&gt;&lt;D xsi:type="xsd:double"&gt;61050.723&lt;/D&gt;&lt;/FQL&gt;&lt;FQL&gt;&lt;Q&gt;AMZN^FE_ESTIMATE(CAPEX,MEAN,ANN_ROLL,2023,NOW,,,'')&lt;/Q&gt;&lt;R&gt;1&lt;/R&gt;&lt;C&gt;1&lt;/C&gt;&lt;D xsi:type="xsd:double"&gt;62598.887&lt;/D&gt;&lt;/FQL&gt;&lt;FQL&gt;&lt;Q&gt;AMZN^FE_ESTIMATE(CAPEX,MEAN,ANN_ROLL,2024,NOW,,,'')&lt;/Q&gt;&lt;R&gt;1&lt;/R&gt;&lt;C&gt;1&lt;/C&gt;&lt;D xsi:type="xsd:double"&gt;64481.453&lt;/D&gt;&lt;/FQL&gt;&lt;FQL&gt;&lt;Q&gt;AMZN^FE_ESTIMATE(CAPEX,MEAN,ANN_ROLL,2025,NOW,,,'')&lt;/Q&gt;&lt;R&gt;1&lt;/R&gt;&lt;C&gt;1&lt;/C&gt;&lt;D xsi:type="xsd:double"&gt;69493.41&lt;/D&gt;&lt;/FQL&gt;&lt;FQL&gt;&lt;Q&gt;AMZN^FE_ESTIMATE(CAPEX,MEAN,ANN_ROLL,2026,NOW,,,'')&lt;/Q&gt;&lt;R&gt;1&lt;/R&gt;&lt;C&gt;1&lt;/C&gt;&lt;D xsi:type="xsd:double"&gt;65697&lt;/D&gt;&lt;/FQL&gt;&lt;FQL&gt;&lt;Q&gt;AMZN^FE_ESTIMATE(CAPEX,MEAN,ANN_ROLL,2027,NOW,,,'')&lt;/Q&gt;&lt;R&gt;1&lt;/R&gt;&lt;C&gt;1&lt;/C&gt;&lt;D xsi:type="xsd:double"&gt;69051.93&lt;/D&gt;&lt;/FQL&gt;&lt;/Schema&gt;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<sst xmlns="http://schemas.openxmlformats.org/spreadsheetml/2006/main" count="723" uniqueCount="196">
  <si>
    <t>Income Statement (M)</t>
  </si>
  <si>
    <t>CY '13</t>
  </si>
  <si>
    <t>CY '14</t>
  </si>
  <si>
    <t>CY '15</t>
  </si>
  <si>
    <t>CY '16</t>
  </si>
  <si>
    <t>CY '17</t>
  </si>
  <si>
    <t>CY '18</t>
  </si>
  <si>
    <t>CY '19</t>
  </si>
  <si>
    <t>CY '20</t>
  </si>
  <si>
    <t>CY '21</t>
  </si>
  <si>
    <t>Dec '13</t>
  </si>
  <si>
    <t>Dec '14</t>
  </si>
  <si>
    <t>Dec '15</t>
  </si>
  <si>
    <t>Dec '16</t>
  </si>
  <si>
    <t>Dec '17</t>
  </si>
  <si>
    <t>Dec '18</t>
  </si>
  <si>
    <t>Dec '19</t>
  </si>
  <si>
    <t>Dec '20</t>
  </si>
  <si>
    <t>Dec '21</t>
  </si>
  <si>
    <t>Sales</t>
  </si>
  <si>
    <t>Cost of Sales</t>
  </si>
  <si>
    <t>-</t>
  </si>
  <si>
    <t>Organic Growth (%)</t>
  </si>
  <si>
    <t>Gross Income</t>
  </si>
  <si>
    <t>SG&amp;A Expense</t>
  </si>
  <si>
    <t>General &amp; Admin Expense</t>
  </si>
  <si>
    <t>Research &amp; Development</t>
  </si>
  <si>
    <t>EBITDAR</t>
  </si>
  <si>
    <t>EBITDA</t>
  </si>
  <si>
    <t>EBITDA Non-GAAP</t>
  </si>
  <si>
    <t>EBITDA GAAP</t>
  </si>
  <si>
    <t>Depr. &amp; Amort.</t>
  </si>
  <si>
    <t>Operating Income</t>
  </si>
  <si>
    <t>EBITA</t>
  </si>
  <si>
    <t>Operating Income - Non GAAP</t>
  </si>
  <si>
    <t>Operating Income - GAAP</t>
  </si>
  <si>
    <t>Interest Expense</t>
  </si>
  <si>
    <t>Pretax Income</t>
  </si>
  <si>
    <t>Pretax Income - Non GAAP</t>
  </si>
  <si>
    <t>Pretax Income - GAAP</t>
  </si>
  <si>
    <t>Tax Expense</t>
  </si>
  <si>
    <t>Net Income</t>
  </si>
  <si>
    <t>Net Income - Non GAAP</t>
  </si>
  <si>
    <t>Net Income - GAAP</t>
  </si>
  <si>
    <t>Ticker</t>
  </si>
  <si>
    <t>Date</t>
  </si>
  <si>
    <t>x</t>
  </si>
  <si>
    <t>Assumptions</t>
  </si>
  <si>
    <t>Income Statement</t>
  </si>
  <si>
    <t>Cash Flow Items</t>
  </si>
  <si>
    <t>DCF</t>
  </si>
  <si>
    <t>Revenue</t>
  </si>
  <si>
    <t>% growth</t>
  </si>
  <si>
    <t>EBIT</t>
  </si>
  <si>
    <t>% of sales</t>
  </si>
  <si>
    <t>Taxes</t>
  </si>
  <si>
    <t>% of EBIT</t>
  </si>
  <si>
    <t>D&amp;A</t>
  </si>
  <si>
    <t>CapEx</t>
  </si>
  <si>
    <t>Change in NWC</t>
  </si>
  <si>
    <t>% margin</t>
  </si>
  <si>
    <t>EBIAT</t>
  </si>
  <si>
    <t>Unlevered FCF</t>
  </si>
  <si>
    <t>Present Value of FCF</t>
  </si>
  <si>
    <t>WACC</t>
  </si>
  <si>
    <t>TGR</t>
  </si>
  <si>
    <t>Valuation Assumptions</t>
  </si>
  <si>
    <t>This sheet contains FactSet XML data for use with this workbook's =FDS codes.  Modifying the worksheet's contents may damage the workbook's =FDS functionality.</t>
  </si>
  <si>
    <t>+ Cash</t>
  </si>
  <si>
    <t>- Debt</t>
  </si>
  <si>
    <t>Equity Value</t>
  </si>
  <si>
    <t>Shares</t>
  </si>
  <si>
    <t>Share Price</t>
  </si>
  <si>
    <t>Implied Share Price</t>
  </si>
  <si>
    <t>Terminal Value</t>
  </si>
  <si>
    <t>Present Value of Terminal Value</t>
  </si>
  <si>
    <t>Today's Share Price</t>
  </si>
  <si>
    <t>Debt</t>
  </si>
  <si>
    <t>% Debt</t>
  </si>
  <si>
    <t>Cost of Debt</t>
  </si>
  <si>
    <t>Tax Rate</t>
  </si>
  <si>
    <t>% Equity</t>
  </si>
  <si>
    <t>Cost of Equity</t>
  </si>
  <si>
    <t>Risk Free Rate</t>
  </si>
  <si>
    <t>Beta</t>
  </si>
  <si>
    <t>Market Risk Premium</t>
  </si>
  <si>
    <t>Debt + Equity</t>
  </si>
  <si>
    <t>WACC =  (% Equity x Cost of Equity) + (% Debt x Cost of Debt x (1 -Tax rate))</t>
  </si>
  <si>
    <t>Upside (Downside)</t>
  </si>
  <si>
    <t>PROJECTIONS</t>
  </si>
  <si>
    <t>THE %MARGIN is the difference of the Revenue and the final EBIT</t>
  </si>
  <si>
    <t>ROSNEFT-RU</t>
  </si>
  <si>
    <t xml:space="preserve">           METRICS</t>
  </si>
  <si>
    <t>EBITDA Margin</t>
  </si>
  <si>
    <t>Operating Margin</t>
  </si>
  <si>
    <t>Net income margin</t>
  </si>
  <si>
    <t>CAPEX/EBITDA</t>
  </si>
  <si>
    <t>FCF/EBITDA</t>
  </si>
  <si>
    <t>Effective Tax Rate</t>
  </si>
  <si>
    <t>Cash Conversion</t>
  </si>
  <si>
    <t>D&amp;A Revenue</t>
  </si>
  <si>
    <t>CY '22</t>
  </si>
  <si>
    <t>CY '23</t>
  </si>
  <si>
    <t>CY '24</t>
  </si>
  <si>
    <t>CY '25</t>
  </si>
  <si>
    <t>CY '26</t>
  </si>
  <si>
    <t>CY '27</t>
  </si>
  <si>
    <t>CAPEX</t>
  </si>
  <si>
    <t>Dec '22</t>
  </si>
  <si>
    <t>Dec '23</t>
  </si>
  <si>
    <t>Dec '24</t>
  </si>
  <si>
    <t>Dec '25</t>
  </si>
  <si>
    <t>Dec '26</t>
  </si>
  <si>
    <t>Dec '27</t>
  </si>
  <si>
    <t>ROSN.ME</t>
  </si>
  <si>
    <t>Rosneft Oil Company</t>
  </si>
  <si>
    <t>ROSN    Currency: RUB    Unit: millions</t>
  </si>
  <si>
    <t>Line Item</t>
  </si>
  <si>
    <t>Current assets</t>
  </si>
  <si>
    <t>Total non-current assets</t>
  </si>
  <si>
    <t>Total assets</t>
  </si>
  <si>
    <t>Current liabilities</t>
  </si>
  <si>
    <t>Non-current liabilities</t>
  </si>
  <si>
    <t>Total equity</t>
  </si>
  <si>
    <t>Total revenues and equity share in profits</t>
  </si>
  <si>
    <t>Production and operating expenses</t>
  </si>
  <si>
    <t>Depreciation, depletion, amortization and impairment</t>
  </si>
  <si>
    <t>Taxes other than income tax</t>
  </si>
  <si>
    <t>Other costs and expenses</t>
  </si>
  <si>
    <t>Total costs and expenses</t>
  </si>
  <si>
    <t>Operating profit</t>
  </si>
  <si>
    <t>Profit before income tax</t>
  </si>
  <si>
    <t>Income tax expense</t>
  </si>
  <si>
    <t>Profit for the year</t>
  </si>
  <si>
    <t>Profit for the year attributable to Rosneft shareholders</t>
  </si>
  <si>
    <t>Net cash provided by operating activities</t>
  </si>
  <si>
    <t>Net cash used in investing activities</t>
  </si>
  <si>
    <t>Net cash used in financing activities</t>
  </si>
  <si>
    <t>Capital expenditures</t>
  </si>
  <si>
    <t>Net increase in cash and cash equivalents</t>
  </si>
  <si>
    <t>n/a</t>
  </si>
  <si>
    <t>2026 H1</t>
  </si>
  <si>
    <t>Trillion</t>
  </si>
  <si>
    <t>Vostok Oil field</t>
  </si>
  <si>
    <t>Production Mt</t>
  </si>
  <si>
    <t>Tonnes/day</t>
  </si>
  <si>
    <t>linear interpolation</t>
  </si>
  <si>
    <t>bpd</t>
  </si>
  <si>
    <t>Revenue ($ bn)</t>
  </si>
  <si>
    <t xml:space="preserve">oil price </t>
  </si>
  <si>
    <t>(Re)</t>
  </si>
  <si>
    <t>CAPM (Capital Asset Pricing Model)- -&gt;</t>
  </si>
  <si>
    <t>Risk free rate</t>
  </si>
  <si>
    <t>Country Risk Premium</t>
  </si>
  <si>
    <t>Discount Rate (Re)</t>
  </si>
  <si>
    <t>U.S 10y - treasury</t>
  </si>
  <si>
    <t>Cost of Equity (Re) = Rf (US) + Beta (vs. US Market) × MRP (US) + CRP</t>
  </si>
  <si>
    <t>E[Rm] - Rf   | Expected Market Return - Rsik free rate</t>
  </si>
  <si>
    <t>RUB (bn)</t>
  </si>
  <si>
    <t>ROSNEFT</t>
  </si>
  <si>
    <t>Debt country spread * sigma stock / sigma bond</t>
  </si>
  <si>
    <t>Balance Sheet Statement</t>
  </si>
  <si>
    <t>1. BRENT ($/bbl, annual average)</t>
  </si>
  <si>
    <t>Unit</t>
  </si>
  <si>
    <t>Bear - banks / RU MinEcon</t>
  </si>
  <si>
    <t>$/bbl</t>
  </si>
  <si>
    <t>Base - blend futures + anchor</t>
  </si>
  <si>
    <t>Bull - market-implied (futures strip)</t>
  </si>
  <si>
    <t>Base build:</t>
  </si>
  <si>
    <t xml:space="preserve">  Futures strip, annual avg</t>
  </si>
  <si>
    <t xml:space="preserve">  Anchor (2027 = EIA STEO Sep-26; 2028+ = long-run)</t>
  </si>
  <si>
    <t xml:space="preserve">  Long-run Brent (mid-cycle)</t>
  </si>
  <si>
    <t xml:space="preserve">  EIA STEO Brent 2027</t>
  </si>
  <si>
    <t xml:space="preserve">  Weight on futures</t>
  </si>
  <si>
    <t>%</t>
  </si>
  <si>
    <t>2. URALS DISCOUNT TO BRENT ($/bbl)</t>
  </si>
  <si>
    <t>Bear (sanctions bite)</t>
  </si>
  <si>
    <t>Base (gradual normalisation)</t>
  </si>
  <si>
    <t>Bull (tight tanker market persists)</t>
  </si>
  <si>
    <t>3. USD/RUB (annual average)</t>
  </si>
  <si>
    <t>RU MinEcon (May-26 forecast)</t>
  </si>
  <si>
    <t>RUB/USD</t>
  </si>
  <si>
    <t>4. SELECTED SCENARIO -&gt; feeds the DCF</t>
  </si>
  <si>
    <t>Brent</t>
  </si>
  <si>
    <t>Urals discount</t>
  </si>
  <si>
    <t>Urals</t>
  </si>
  <si>
    <t>USD/RUB</t>
  </si>
  <si>
    <t>Urals in rubles</t>
  </si>
  <si>
    <t>RUB/bbl</t>
  </si>
  <si>
    <t xml:space="preserve">  % change y/y (RUB)</t>
  </si>
  <si>
    <t>OIL price assumptions 2027-2030</t>
  </si>
  <si>
    <t>NWC (operating balance)</t>
  </si>
  <si>
    <t>Operating NWC = trade receivables + inventories - trade payables (excludes cash and short-term debt). 2025 base = 567 (RUB bn, source data) held constant as % of sales; Change in NWC = NWC(t) - NWC(t-1); positive = cash outflow. Column N = terminal year (NWC grows at TGR). Historical F:H still on the old current assets - current liabilities basis (not comparable).</t>
  </si>
  <si>
    <t>Enterprise Value (RUB mm)</t>
  </si>
  <si>
    <t>FCF, PV and Terminal Value are in RUB bn; x1000 converts EV to RUB mm to match Cash, Debt and Shares (RUB mm / mm shares).</t>
  </si>
  <si>
    <t>NWC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</si>
</sst>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164" formatCode="#,##0.0"/>
    <numFmt numFmtId="165" formatCode="0.0%"/>
    <numFmt numFmtId="166" formatCode="0.0%;\(0.0%\)"/>
    <numFmt numFmtId="167" formatCode="_([$$-409]* #,##0.00_);_([$$-409]* \(#,##0.00\);_([$$-409]* &quot;-&quot;??_);_(@_)"/>
    <numFmt numFmtId="168" formatCode="0%;\(0%\)"/>
    <numFmt numFmtId="169" formatCode="&quot;$&quot;#,##0.00"/>
    <numFmt numFmtId="170" formatCode="0.0000"/>
    <numFmt numFmtId="171" formatCode="0.0"/>
    <numFmt numFmtId="172" formatCode="#,##0;\(#,##0\);\-"/>
    <numFmt numFmtId="173" formatCode="_-* #,##0.00\ [$₽-419]_-;\-* #,##0.00\ [$₽-419]_-;_-* &quot;-&quot;??\ [$₽-419]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646464"/>
      <name val="Arial"/>
      <family val="2"/>
    </font>
    <font>
      <b/>
      <sz val="10"/>
      <color rgb="FF003366"/>
      <name val="Arial"/>
      <family val="2"/>
    </font>
    <font>
      <u/>
      <sz val="10"/>
      <color rgb="FF0000FF"/>
      <name val="Arial"/>
      <family val="2"/>
    </font>
    <font>
      <u/>
      <sz val="10"/>
      <color rgb="FFFF0000"/>
      <name val="Arial"/>
      <family val="2"/>
    </font>
    <font>
      <b/>
      <u/>
      <sz val="10"/>
      <color rgb="FF003366"/>
      <name val="Arial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</font>
    <font>
      <i/>
      <sz val="10"/>
      <name val="Calibri"/>
    </font>
    <font>
      <b/>
      <sz val="11"/>
      <color rgb="FFFFFFFF"/>
      <name val="Calibri"/>
    </font>
    <font>
      <u/>
      <sz val="11"/>
      <color theme="1"/>
      <name val="Calibri"/>
      <family val="2"/>
      <scheme val="minor"/>
    </font>
    <font>
      <b/>
      <sz val="11"/>
      <color rgb="FF1F4E78"/>
      <name val="Calibri"/>
      <family val="2"/>
      <scheme val="minor"/>
    </font>
    <font>
      <u/>
      <sz val="11"/>
      <name val="Calibri"/>
      <family val="2"/>
      <scheme val="minor"/>
    </font>
    <font>
      <i/>
      <sz val="9"/>
      <color rgb="FF666666"/>
      <name val="Calibri"/>
      <family val="2"/>
    </font>
    <font>
      <i/>
      <sz val="11"/>
      <color rgb="FF595959"/>
      <name val="Calibri"/>
    </font>
    <font>
      <b/>
      <sz val="11"/>
      <name val="Calibri"/>
    </font>
    <font>
      <b/>
      <sz val="11"/>
      <color rgb="FF0000FF"/>
      <name val="Calibri"/>
    </font>
    <font>
      <sz val="11"/>
      <color rgb="FF0000FF"/>
      <name val="Calibri"/>
    </font>
    <font>
      <sz val="11"/>
      <color rgb="FF008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F4E7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2CC"/>
      </patternFill>
    </fill>
    <fill>
      <patternFill patternType="solid">
        <fgColor rgb="FF1F38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9" fillId="0" borderId="0"/>
    <xf numFmtId="0" fontId="22" fillId="0" borderId="0" applyNumberFormat="0" applyFill="0" applyBorder="0" applyAlignment="0" applyProtection="0"/>
  </cellStyleXfs>
  <cellXfs count="145">
    <xf numFmtId="0" fontId="0" fillId="0" borderId="0" xfId="0"/>
    <xf numFmtId="0" fontId="5" fillId="0" borderId="0" xfId="2" applyFont="1"/>
    <xf numFmtId="0" fontId="4" fillId="0" borderId="0" xfId="2"/>
    <xf numFmtId="0" fontId="5" fillId="2" borderId="0" xfId="2" applyFont="1" applyFill="1" applyAlignment="1">
      <alignment horizontal="left"/>
    </xf>
    <xf numFmtId="0" fontId="4" fillId="0" borderId="0" xfId="2" applyAlignment="1">
      <alignment horizontal="left"/>
    </xf>
    <xf numFmtId="3" fontId="4" fillId="0" borderId="0" xfId="2" applyNumberFormat="1" applyAlignment="1">
      <alignment horizontal="right"/>
    </xf>
    <xf numFmtId="0" fontId="4" fillId="3" borderId="0" xfId="2" applyFill="1" applyAlignment="1">
      <alignment horizontal="left"/>
    </xf>
    <xf numFmtId="3" fontId="4" fillId="3" borderId="0" xfId="2" applyNumberFormat="1" applyFill="1" applyAlignment="1">
      <alignment horizontal="right"/>
    </xf>
    <xf numFmtId="9" fontId="4" fillId="0" borderId="0" xfId="1" applyFont="1"/>
    <xf numFmtId="0" fontId="7" fillId="0" borderId="0" xfId="2" applyFont="1" applyAlignment="1">
      <alignment horizontal="left"/>
    </xf>
    <xf numFmtId="0" fontId="0" fillId="0" borderId="3" xfId="0" applyBorder="1"/>
    <xf numFmtId="0" fontId="12" fillId="0" borderId="3" xfId="0" applyFont="1" applyBorder="1"/>
    <xf numFmtId="0" fontId="0" fillId="5" borderId="0" xfId="0" applyFill="1"/>
    <xf numFmtId="0" fontId="2" fillId="5" borderId="0" xfId="0" applyFont="1" applyFill="1"/>
    <xf numFmtId="0" fontId="0" fillId="4" borderId="4" xfId="0" applyFill="1" applyBorder="1" applyAlignment="1">
      <alignment horizontal="center"/>
    </xf>
    <xf numFmtId="14" fontId="0" fillId="4" borderId="4" xfId="0" applyNumberFormat="1" applyFill="1" applyBorder="1" applyAlignment="1">
      <alignment horizontal="center"/>
    </xf>
    <xf numFmtId="0" fontId="13" fillId="6" borderId="0" xfId="0" applyFont="1" applyFill="1"/>
    <xf numFmtId="0" fontId="14" fillId="6" borderId="0" xfId="0" applyFont="1" applyFill="1"/>
    <xf numFmtId="3" fontId="13" fillId="6" borderId="0" xfId="0" applyNumberFormat="1" applyFont="1" applyFill="1"/>
    <xf numFmtId="165" fontId="15" fillId="6" borderId="0" xfId="1" applyNumberFormat="1" applyFont="1" applyFill="1"/>
    <xf numFmtId="0" fontId="15" fillId="6" borderId="0" xfId="0" applyFont="1" applyFill="1"/>
    <xf numFmtId="0" fontId="16" fillId="0" borderId="0" xfId="0" applyFont="1"/>
    <xf numFmtId="3" fontId="0" fillId="0" borderId="0" xfId="0" applyNumberFormat="1"/>
    <xf numFmtId="3" fontId="17" fillId="6" borderId="0" xfId="0" applyNumberFormat="1" applyFont="1" applyFill="1"/>
    <xf numFmtId="3" fontId="18" fillId="0" borderId="0" xfId="0" applyNumberFormat="1" applyFont="1"/>
    <xf numFmtId="165" fontId="15" fillId="6" borderId="0" xfId="1" applyNumberFormat="1" applyFont="1" applyFill="1" applyBorder="1"/>
    <xf numFmtId="9" fontId="0" fillId="0" borderId="0" xfId="1" applyFont="1"/>
    <xf numFmtId="37" fontId="17" fillId="6" borderId="0" xfId="0" applyNumberFormat="1" applyFont="1" applyFill="1"/>
    <xf numFmtId="0" fontId="3" fillId="0" borderId="0" xfId="0" applyFont="1"/>
    <xf numFmtId="165" fontId="0" fillId="4" borderId="5" xfId="0" applyNumberFormat="1" applyFill="1" applyBorder="1" applyAlignment="1">
      <alignment horizontal="center"/>
    </xf>
    <xf numFmtId="3" fontId="13" fillId="0" borderId="0" xfId="0" applyNumberFormat="1" applyFont="1"/>
    <xf numFmtId="165" fontId="16" fillId="0" borderId="0" xfId="1" applyNumberFormat="1" applyFont="1"/>
    <xf numFmtId="165" fontId="16" fillId="0" borderId="0" xfId="1" applyNumberFormat="1" applyFont="1" applyFill="1" applyBorder="1"/>
    <xf numFmtId="165" fontId="13" fillId="6" borderId="0" xfId="1" applyNumberFormat="1" applyFont="1" applyFill="1"/>
    <xf numFmtId="6" fontId="13" fillId="6" borderId="0" xfId="0" applyNumberFormat="1" applyFont="1" applyFill="1"/>
    <xf numFmtId="165" fontId="0" fillId="0" borderId="0" xfId="0" applyNumberFormat="1"/>
    <xf numFmtId="1" fontId="0" fillId="0" borderId="0" xfId="0" applyNumberFormat="1"/>
    <xf numFmtId="165" fontId="0" fillId="0" borderId="0" xfId="1" applyNumberFormat="1" applyFont="1"/>
    <xf numFmtId="3" fontId="20" fillId="6" borderId="0" xfId="0" applyNumberFormat="1" applyFont="1" applyFill="1"/>
    <xf numFmtId="37" fontId="18" fillId="0" borderId="0" xfId="0" applyNumberFormat="1" applyFont="1"/>
    <xf numFmtId="37" fontId="13" fillId="0" borderId="0" xfId="0" applyNumberFormat="1" applyFont="1"/>
    <xf numFmtId="14" fontId="0" fillId="0" borderId="0" xfId="0" applyNumberFormat="1"/>
    <xf numFmtId="0" fontId="0" fillId="0" borderId="0" xfId="0" quotePrefix="1"/>
    <xf numFmtId="167" fontId="0" fillId="0" borderId="0" xfId="0" applyNumberFormat="1"/>
    <xf numFmtId="168" fontId="0" fillId="0" borderId="0" xfId="1" applyNumberFormat="1" applyFont="1"/>
    <xf numFmtId="165" fontId="19" fillId="0" borderId="0" xfId="1" applyNumberFormat="1" applyFont="1" applyFill="1" applyBorder="1"/>
    <xf numFmtId="166" fontId="16" fillId="0" borderId="0" xfId="1" applyNumberFormat="1" applyFont="1"/>
    <xf numFmtId="166" fontId="16" fillId="0" borderId="0" xfId="1" applyNumberFormat="1" applyFont="1" applyBorder="1"/>
    <xf numFmtId="3" fontId="17" fillId="6" borderId="10" xfId="0" applyNumberFormat="1" applyFont="1" applyFill="1" applyBorder="1"/>
    <xf numFmtId="165" fontId="15" fillId="6" borderId="10" xfId="1" applyNumberFormat="1" applyFont="1" applyFill="1" applyBorder="1"/>
    <xf numFmtId="0" fontId="13" fillId="6" borderId="10" xfId="0" applyFont="1" applyFill="1" applyBorder="1"/>
    <xf numFmtId="3" fontId="13" fillId="6" borderId="10" xfId="0" applyNumberFormat="1" applyFont="1" applyFill="1" applyBorder="1"/>
    <xf numFmtId="0" fontId="0" fillId="0" borderId="10" xfId="0" applyBorder="1"/>
    <xf numFmtId="165" fontId="16" fillId="0" borderId="10" xfId="1" applyNumberFormat="1" applyFont="1" applyBorder="1"/>
    <xf numFmtId="166" fontId="16" fillId="0" borderId="10" xfId="1" applyNumberFormat="1" applyFont="1" applyBorder="1"/>
    <xf numFmtId="0" fontId="0" fillId="0" borderId="9" xfId="0" applyBorder="1"/>
    <xf numFmtId="37" fontId="13" fillId="0" borderId="3" xfId="0" applyNumberFormat="1" applyFont="1" applyBorder="1"/>
    <xf numFmtId="0" fontId="0" fillId="0" borderId="3" xfId="0" quotePrefix="1" applyBorder="1"/>
    <xf numFmtId="37" fontId="14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37" fontId="3" fillId="0" borderId="7" xfId="0" applyNumberFormat="1" applyFont="1" applyBorder="1"/>
    <xf numFmtId="3" fontId="3" fillId="0" borderId="7" xfId="0" applyNumberFormat="1" applyFont="1" applyBorder="1"/>
    <xf numFmtId="0" fontId="3" fillId="7" borderId="6" xfId="0" applyFont="1" applyFill="1" applyBorder="1"/>
    <xf numFmtId="0" fontId="0" fillId="7" borderId="7" xfId="0" applyFill="1" applyBorder="1"/>
    <xf numFmtId="10" fontId="3" fillId="7" borderId="8" xfId="0" applyNumberFormat="1" applyFont="1" applyFill="1" applyBorder="1"/>
    <xf numFmtId="169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3" fontId="0" fillId="0" borderId="11" xfId="0" applyNumberFormat="1" applyBorder="1" applyAlignment="1">
      <alignment horizontal="right"/>
    </xf>
    <xf numFmtId="37" fontId="0" fillId="0" borderId="0" xfId="0" applyNumberFormat="1"/>
    <xf numFmtId="2" fontId="16" fillId="0" borderId="0" xfId="1" applyNumberFormat="1" applyFont="1"/>
    <xf numFmtId="165" fontId="0" fillId="5" borderId="0" xfId="1" applyNumberFormat="1" applyFont="1" applyFill="1"/>
    <xf numFmtId="0" fontId="23" fillId="5" borderId="0" xfId="0" applyFont="1" applyFill="1"/>
    <xf numFmtId="0" fontId="4" fillId="6" borderId="0" xfId="2" applyFill="1" applyAlignment="1">
      <alignment horizontal="left"/>
    </xf>
    <xf numFmtId="0" fontId="24" fillId="6" borderId="0" xfId="2" applyFont="1" applyFill="1" applyAlignment="1">
      <alignment horizontal="left"/>
    </xf>
    <xf numFmtId="0" fontId="4" fillId="8" borderId="0" xfId="2" applyFill="1"/>
    <xf numFmtId="9" fontId="4" fillId="3" borderId="0" xfId="1" applyFont="1" applyFill="1" applyAlignment="1">
      <alignment horizontal="right"/>
    </xf>
    <xf numFmtId="1" fontId="2" fillId="5" borderId="0" xfId="0" applyNumberFormat="1" applyFont="1" applyFill="1"/>
    <xf numFmtId="1" fontId="2" fillId="5" borderId="10" xfId="0" applyNumberFormat="1" applyFont="1" applyFill="1" applyBorder="1"/>
    <xf numFmtId="0" fontId="4" fillId="0" borderId="2" xfId="2" applyBorder="1"/>
    <xf numFmtId="0" fontId="4" fillId="0" borderId="1" xfId="2" applyBorder="1"/>
    <xf numFmtId="0" fontId="5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3" fontId="11" fillId="0" borderId="0" xfId="3" applyNumberFormat="1" applyFont="1" applyAlignment="1">
      <alignment horizontal="right"/>
    </xf>
    <xf numFmtId="0" fontId="4" fillId="0" borderId="0" xfId="2" applyAlignment="1">
      <alignment horizontal="left" indent="1"/>
    </xf>
    <xf numFmtId="3" fontId="10" fillId="0" borderId="0" xfId="3" applyNumberFormat="1" applyFont="1" applyAlignment="1">
      <alignment horizontal="right"/>
    </xf>
    <xf numFmtId="3" fontId="9" fillId="0" borderId="0" xfId="3" applyNumberFormat="1" applyAlignment="1">
      <alignment horizontal="right"/>
    </xf>
    <xf numFmtId="0" fontId="8" fillId="0" borderId="0" xfId="2" applyFont="1" applyAlignment="1">
      <alignment horizontal="left" indent="3"/>
    </xf>
    <xf numFmtId="3" fontId="8" fillId="0" borderId="0" xfId="2" applyNumberFormat="1" applyFont="1" applyAlignment="1">
      <alignment horizontal="right"/>
    </xf>
    <xf numFmtId="0" fontId="4" fillId="0" borderId="0" xfId="2" applyAlignment="1">
      <alignment horizontal="left" indent="4"/>
    </xf>
    <xf numFmtId="0" fontId="8" fillId="0" borderId="0" xfId="2" applyFont="1" applyAlignment="1">
      <alignment horizontal="left" indent="6"/>
    </xf>
    <xf numFmtId="0" fontId="4" fillId="0" borderId="0" xfId="2" applyAlignment="1">
      <alignment horizontal="left" indent="7"/>
    </xf>
    <xf numFmtId="0" fontId="8" fillId="0" borderId="0" xfId="2" applyFont="1" applyAlignment="1">
      <alignment horizontal="left" indent="9"/>
    </xf>
    <xf numFmtId="0" fontId="4" fillId="0" borderId="0" xfId="2" applyAlignment="1">
      <alignment horizontal="left" indent="10"/>
    </xf>
    <xf numFmtId="164" fontId="8" fillId="0" borderId="0" xfId="2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164" fontId="4" fillId="0" borderId="0" xfId="2" applyNumberFormat="1" applyAlignment="1">
      <alignment horizontal="right"/>
    </xf>
    <xf numFmtId="0" fontId="26" fillId="0" borderId="0" xfId="0" applyFont="1"/>
    <xf numFmtId="0" fontId="27" fillId="0" borderId="0" xfId="0" applyFont="1"/>
    <xf numFmtId="0" fontId="28" fillId="9" borderId="0" xfId="0" applyFont="1" applyFill="1" applyAlignment="1">
      <alignment horizontal="center" vertical="center"/>
    </xf>
    <xf numFmtId="0" fontId="0" fillId="0" borderId="12" xfId="0" applyBorder="1"/>
    <xf numFmtId="3" fontId="0" fillId="0" borderId="12" xfId="0" applyNumberFormat="1" applyBorder="1"/>
    <xf numFmtId="0" fontId="28" fillId="10" borderId="0" xfId="0" applyFont="1" applyFill="1" applyAlignment="1">
      <alignment horizontal="center" vertical="center"/>
    </xf>
    <xf numFmtId="2" fontId="3" fillId="0" borderId="7" xfId="0" applyNumberFormat="1" applyFont="1" applyBorder="1"/>
    <xf numFmtId="9" fontId="0" fillId="0" borderId="0" xfId="0" applyNumberFormat="1"/>
    <xf numFmtId="0" fontId="2" fillId="11" borderId="0" xfId="0" applyFont="1" applyFill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/>
    <xf numFmtId="170" fontId="0" fillId="0" borderId="0" xfId="0" applyNumberFormat="1"/>
    <xf numFmtId="170" fontId="30" fillId="0" borderId="0" xfId="0" applyNumberFormat="1" applyFont="1" applyAlignment="1">
      <alignment horizontal="right"/>
    </xf>
    <xf numFmtId="0" fontId="0" fillId="11" borderId="0" xfId="0" applyFill="1"/>
    <xf numFmtId="0" fontId="23" fillId="11" borderId="0" xfId="0" applyFont="1" applyFill="1"/>
    <xf numFmtId="0" fontId="0" fillId="6" borderId="0" xfId="0" applyFill="1"/>
    <xf numFmtId="0" fontId="2" fillId="11" borderId="0" xfId="0" applyFont="1" applyFill="1"/>
    <xf numFmtId="0" fontId="0" fillId="0" borderId="17" xfId="0" applyBorder="1"/>
    <xf numFmtId="0" fontId="3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1" fillId="6" borderId="0" xfId="0" applyFont="1" applyFill="1"/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0" fontId="0" fillId="4" borderId="5" xfId="0" applyFill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12" borderId="0" xfId="0" applyFont="1" applyFill="1"/>
    <xf numFmtId="0" fontId="28" fillId="13" borderId="0" xfId="0" applyFont="1" applyFill="1"/>
    <xf numFmtId="171" fontId="36" fillId="0" borderId="0" xfId="0" applyNumberFormat="1" applyFont="1"/>
    <xf numFmtId="171" fontId="0" fillId="0" borderId="0" xfId="0" applyNumberFormat="1"/>
    <xf numFmtId="9" fontId="36" fillId="0" borderId="0" xfId="0" applyNumberFormat="1" applyFont="1"/>
    <xf numFmtId="171" fontId="34" fillId="0" borderId="0" xfId="0" applyNumberFormat="1" applyFont="1"/>
    <xf numFmtId="3" fontId="37" fillId="6" borderId="0" xfId="0" applyNumberFormat="1" applyFont="1" applyFill="1"/>
    <xf numFmtId="37" fontId="13" fillId="6" borderId="0" xfId="0" applyNumberFormat="1" applyFont="1" applyFill="1"/>
    <xf numFmtId="9" fontId="0" fillId="0" borderId="17" xfId="0" applyNumberFormat="1" applyBorder="1"/>
    <xf numFmtId="0" fontId="0" fillId="0" borderId="11" xfId="0" applyBorder="1" applyAlignment="1">
      <alignment horizontal="right"/>
    </xf>
    <xf numFmtId="3" fontId="0" fillId="0" borderId="5" xfId="0" applyNumberFormat="1" applyBorder="1" applyAlignment="1">
      <alignment horizontal="right"/>
    </xf>
    <xf numFmtId="172" fontId="18" fillId="0" borderId="0" xfId="0" applyNumberFormat="1" applyFont="1"/>
    <xf numFmtId="172" fontId="13" fillId="0" borderId="0" xfId="0" applyNumberFormat="1" applyFont="1"/>
    <xf numFmtId="173" fontId="3" fillId="0" borderId="0" xfId="0" applyNumberFormat="1" applyFont="1"/>
  </cellXfs>
  <cellStyles count="5">
    <cellStyle name="Hipervínculo" xfId="3" builtinId="8"/>
    <cellStyle name="Hyperlink 2" xfId="4" xr:uid="{1692867E-D475-0248-A8B5-6AFE72F599CD}"/>
    <cellStyle name="Normal" xfId="0" builtinId="0"/>
    <cellStyle name="Normal 2" xfId="2" xr:uid="{A2D1003C-8034-459A-B554-420F0A7D1C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Structure" Target="richData/rdrichvaluestructure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microsoft.com/office/2017/06/relationships/rdSupportingPropertyBag" Target="richData/rdsupportingpropertybag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17/06/relationships/rdRichValue" Target="richData/rdrichvalue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SupportingPropertyBagStructure" Target="richData/rdsupportingpropertybag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microsoft.com/office/2017/10/relationships/person" Target="persons/person.xml"/><Relationship Id="rId10" Type="http://schemas.openxmlformats.org/officeDocument/2006/relationships/externalLink" Target="externalLinks/externalLink1.xml"/><Relationship Id="rId19" Type="http://schemas.microsoft.com/office/2017/06/relationships/richStyles" Target="richData/rich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398431</xdr:colOff>
      <xdr:row>2</xdr:row>
      <xdr:rowOff>10380</xdr:rowOff>
    </xdr:from>
    <xdr:to>
      <xdr:col>13</xdr:col>
      <xdr:colOff>332096</xdr:colOff>
      <xdr:row>5</xdr:row>
      <xdr:rowOff>58683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7D5074-78AE-2D54-35B8-87970640D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7647" y="396360"/>
          <a:ext cx="2367831" cy="6148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en/Desktop/rareliquid/Excels/rareliquid%20-%20Advanced%20DCF%20-%20Part%202.xlsx" TargetMode="External"/><Relationship Id="rId1" Type="http://schemas.openxmlformats.org/officeDocument/2006/relationships/externalLinkPath" Target="/Users/ben/Desktop/rareliquid/Excels/rareliquid%20-%20Advanced%20DCF%20-%20Part%20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fc5d5c8c4852779/Desktop/2024.08.13%20-%20Burger%20King%20LBO%20Stream%20-%20Part%202.xlsx" TargetMode="External"/><Relationship Id="rId1" Type="http://schemas.openxmlformats.org/officeDocument/2006/relationships/externalLinkPath" Target="https://d.docs.live.net/4fc5d5c8c4852779/Desktop/Models/DCF/Models/LBOs/2024.08.13%20-%20Burger%20King%20LBO%20Stream%20-%20Part%20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ca\Desktop\Valuation\Valuation\Case_Studies\Rosneft_2026\Rosneft\Oil_Price_Deck.xlsx" TargetMode="External"/><Relationship Id="rId1" Type="http://schemas.openxmlformats.org/officeDocument/2006/relationships/externalLinkPath" Target="Oil_Price_De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perating Mod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LBO"/>
      <sheetName val="Shares"/>
    </sheetNames>
    <sheetDataSet>
      <sheetData sheetId="0"/>
      <sheetData sheetId="1">
        <row r="6">
          <cell r="E6" t="str">
            <v>OFF</v>
          </cell>
        </row>
        <row r="8">
          <cell r="E8">
            <v>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il_Deck"/>
      <sheetName val="Brent_Futures"/>
    </sheetNames>
    <sheetDataSet>
      <sheetData sheetId="0"/>
      <sheetData sheetId="1">
        <row r="5">
          <cell r="F5">
            <v>85.214166666666657</v>
          </cell>
        </row>
        <row r="6">
          <cell r="F6">
            <v>75.465833333333322</v>
          </cell>
        </row>
        <row r="7">
          <cell r="F7">
            <v>72.14</v>
          </cell>
        </row>
        <row r="8">
          <cell r="F8">
            <v>70.22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linkedentity">
      <keyFlags>
        <key name="%cvi">
          <flag name="ShowInCardView" value="0"/>
          <flag name="ShowInDotNotation" value="0"/>
          <flag name="ShowInAutoComplete" value="0"/>
          <flag name="ExcludeFromCalcComparison" value="1"/>
        </key>
      </keyFlags>
    </type>
    <type name="_linkedentitycore">
      <keyFlags>
        <key name="%EntityServiceId">
          <flag name="ShowInCardView" value="0"/>
          <flag name="ShowInDotNotation" value="0"/>
          <flag name="ShowInAutoComplete" value="0"/>
        </key>
        <key name="%EntitySubDomainId">
          <flag name="ShowInCardView" value="0"/>
          <flag name="ShowInDotNotation" value="0"/>
          <flag name="ShowInAutoComplete" value="0"/>
        </key>
        <key name="%EntityCulture">
          <flag name="ShowInCardView" value="0"/>
          <flag name="ShowInDotNotation" value="0"/>
          <flag name="ShowInAutoComplete" value="0"/>
        </key>
        <key name="%EntityId">
          <flag name="ShowInCardView" value="0"/>
          <flag name="ShowInDotNotation" value="0"/>
          <flag name="ShowInAutoComplete" value="0"/>
        </key>
        <key name="%IsRefreshable">
          <flag name="ShowInCardView" value="0"/>
          <flag name="ShowInDotNotation" value="0"/>
          <flag name="ShowInAutoComplete" value="0"/>
          <flag name="ExcludeFromCalcComparison" value="1"/>
        </key>
        <key name="%ProviderInfo">
          <flag name="ShowInCardView" value="0"/>
          <flag name="ShowInDotNotation" value="0"/>
          <flag name="ShowInAutoComplete" value="0"/>
        </key>
        <key name="%DataProviderExternalLinkLogo">
          <flag name="ShowInCardView" value="0"/>
          <flag name="ShowInDotNotation" value="0"/>
          <flag name="ShowInAutoComplete" value="0"/>
        </key>
        <key name="%DataProviderExternalLink">
          <flag name="ShowInCardView" value="0"/>
          <flag name="ShowInDotNotation" value="0"/>
          <flag name="ShowInAutoComplete" value="0"/>
        </key>
        <key name="%OutdatedReason">
          <flag name="ShowInCardView" value="0"/>
          <flag name="ShowInDotNotation" value="0"/>
          <flag name="ShowInAutoComplete" value="0"/>
          <flag name="ExcludeFromCalcComparison" value="1"/>
        </key>
      </keyFlags>
    </type>
  </types>
</rvTypesInfo>
</file>

<file path=xl/richData/rdrichvalue.xml><?xml version="1.0" encoding="utf-8"?>
<rvData xmlns="http://schemas.microsoft.com/office/spreadsheetml/2017/richdata" count="2">
  <rv s="0">
    <v>en-US</v>
    <v>avys2w</v>
    <v>268435456</v>
    <v>1</v>
    <v>Powered by Refinitiv</v>
    <v>0</v>
    <v>USD/RUB</v>
    <v>2</v>
    <v>3</v>
    <v>Finance</v>
    <v>4</v>
    <v>87.470500000000001</v>
    <v>69.995500000000007</v>
    <v>0.45519999999999999</v>
    <v>5.3839999999999999E-3</v>
    <v>RUB</v>
    <v>USD</v>
    <v>85.367500000000007</v>
    <v>Currency Pair</v>
    <v>46289.539236111108</v>
    <v>84.560299999999998</v>
    <v>US Dollar/Russian Rouble FX Spot Rate</v>
    <v>84.540300000000002</v>
    <v>84.540300000000002</v>
    <v>84.995500000000007</v>
    <v>USDRUB</v>
    <v>USD/RUB</v>
  </rv>
  <rv s="1">
    <v>0</v>
  </rv>
</rvData>
</file>

<file path=xl/richData/rdrichvaluestructure.xml><?xml version="1.0" encoding="utf-8"?>
<rvStructures xmlns="http://schemas.microsoft.com/office/spreadsheetml/2017/richdata" count="2">
  <s t="_linkedentitycore">
    <k n="%EntityCulture" t="s"/>
    <k n="%EntityId" t="s"/>
    <k n="%EntityServiceId"/>
    <k n="%IsRefreshable" t="b"/>
    <k n="%ProviderInfo" t="s"/>
    <k n="_Display" t="spb"/>
    <k n="_DisplayString" t="s"/>
    <k n="_Flags" t="spb"/>
    <k n="_Format" t="spb"/>
    <k n="_Icon" t="s"/>
    <k n="_SubLabel" t="spb"/>
    <k n="52 week high"/>
    <k n="52 week low"/>
    <k n="Change"/>
    <k n="Change (%)"/>
    <k n="Currency" t="s"/>
    <k n="From currency" t="s"/>
    <k n="High"/>
    <k n="Instrument type" t="s"/>
    <k n="Last trade time"/>
    <k n="Low"/>
    <k n="Name" t="s"/>
    <k n="Open"/>
    <k n="Previous close"/>
    <k n="Price"/>
    <k n="Ticker symbol" t="s"/>
    <k n="UniqueName" t="s"/>
  </s>
  <s t="_linkedentity">
    <k n="%cvi" t="r"/>
  </s>
</rvStructures>
</file>

<file path=xl/richData/rdsupportingpropertybag.xml><?xml version="1.0" encoding="utf-8"?>
<supportingPropertyBags xmlns="http://schemas.microsoft.com/office/spreadsheetml/2017/richdata2">
  <spbArrays count="1">
    <a count="27">
      <v t="s">%EntityServiceId</v>
      <v t="s">_Format</v>
      <v t="s">%IsRefreshable</v>
      <v t="s">%EntityCulture</v>
      <v t="s">%EntityId</v>
      <v t="s">_Icon</v>
      <v t="s">_Display</v>
      <v t="s">Name</v>
      <v t="s">Price</v>
      <v t="s">_SubLabel</v>
      <v t="s">Last trade time</v>
      <v t="s">Ticker symbol</v>
      <v t="s">Change</v>
      <v t="s">Change (%)</v>
      <v t="s">Currency</v>
      <v t="s">From currency</v>
      <v t="s">Previous close</v>
      <v t="s">Open</v>
      <v t="s">High</v>
      <v t="s">Low</v>
      <v t="s">52 week high</v>
      <v t="s">52 week low</v>
      <v t="s">Instrument type</v>
      <v t="s">_Flags</v>
      <v t="s">UniqueName</v>
      <v t="s">_DisplayString</v>
      <v t="s">%ProviderInfo</v>
    </a>
  </spbArrays>
  <spbData count="5">
    <spb s="0">
      <v>0</v>
      <v>Name</v>
    </spb>
    <spb s="1">
      <v>0</v>
      <v>0</v>
      <v>0</v>
    </spb>
    <spb s="2">
      <v>1</v>
      <v>1</v>
    </spb>
    <spb s="3">
      <v>1</v>
      <v>1</v>
      <v>2</v>
      <v>1</v>
      <v>1</v>
      <v>1</v>
      <v>3</v>
      <v>1</v>
      <v>1</v>
      <v>1</v>
      <v>4</v>
      <v>5</v>
    </spb>
    <spb s="4">
      <v>GMT</v>
    </spb>
  </spbData>
</supportingPropertyBags>
</file>

<file path=xl/richData/rdsupportingpropertybagstructure.xml><?xml version="1.0" encoding="utf-8"?>
<spbStructures xmlns="http://schemas.microsoft.com/office/spreadsheetml/2017/richdata2" count="5">
  <s>
    <k n="^Order" t="spba"/>
    <k n="TitleProperty" t="s"/>
  </s>
  <s>
    <k n="ShowInCardView" t="b"/>
    <k n="ShowInDotNotation" t="b"/>
    <k n="ShowInAutoComplete" t="b"/>
  </s>
  <s>
    <k n="UniqueName" t="spb"/>
    <k n="`%ProviderInfo" t="spb"/>
  </s>
  <s>
    <k n="Low" t="i"/>
    <k n="High" t="i"/>
    <k n="Name" t="i"/>
    <k n="Open" t="i"/>
    <k n="Price" t="i"/>
    <k n="Change" t="i"/>
    <k n="Change (%)" t="i"/>
    <k n="52 week low" t="i"/>
    <k n="52 week high" t="i"/>
    <k n="Previous close" t="i"/>
    <k n="Last trade time" t="i"/>
    <k n="`%EntityServiceId" t="i"/>
  </s>
  <s>
    <k n="Last trade time" t="s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4">
    <x:dxf>
      <x:numFmt numFmtId="2" formatCode="0.00"/>
    </x:dxf>
    <x:dxf>
      <x:numFmt numFmtId="0" formatCode="General"/>
    </x:dxf>
    <x:dxf>
      <x:numFmt numFmtId="27" formatCode="m/d/yyyy\ h:mm"/>
    </x:dxf>
    <x:dxf>
      <x:numFmt numFmtId="14" formatCode="0.00%"/>
    </x:dxf>
  </dxfs>
  <richProperties>
    <rPr n="NumberFormat" t="s"/>
    <rPr n="IsTitleField" t="b"/>
  </richProperties>
  <richStyles>
    <rSty dxfid="1">
      <rpv i="0">_-* #,##0.00 [$₽-ba-RU]_-;-* #,##0.00 [$₽-ba-RU]_-;_-* "-"?? [$₽-ba-RU]_-;_-@_-</rpv>
    </rSty>
    <rSty>
      <rpv i="1">1</rpv>
    </rSty>
    <rSty dxfid="3"/>
    <rSty dxfid="2"/>
    <rSty dxfid="0">
      <rpv i="0">0.00</rpv>
    </rSty>
  </richStyles>
</richStyleShee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1782-985A-4F6E-8405-30EA8D9C5EDB}">
  <dimension ref="A1:B1"/>
  <sheetViews>
    <sheetView workbookViewId="0"/>
  </sheetViews>
  <sheetFormatPr baseColWidth="10" defaultColWidth="8.81640625" defaultRowHeight="14.5" x14ac:dyDescent="0.35"/>
  <sheetData>
    <row r="1" spans="1:2" x14ac:dyDescent="0.35">
      <c r="B1" t="s">
        <v>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BC268-C7FB-B94E-B2FB-D48B570B343D}">
  <dimension ref="A2:AD63"/>
  <sheetViews>
    <sheetView showGridLines="0" tabSelected="1" topLeftCell="A46" zoomScale="90" zoomScaleNormal="170" workbookViewId="0">
      <selection activeCell="M63" sqref="M63"/>
    </sheetView>
  </sheetViews>
  <sheetFormatPr baseColWidth="10" defaultColWidth="9.54296875" defaultRowHeight="14.5" outlineLevelRow="1" outlineLevelCol="1" x14ac:dyDescent="0.35"/>
  <cols>
    <col min="1" max="1" width="3.54296875" customWidth="1"/>
    <col min="3" max="3" width="11.453125" customWidth="1"/>
    <col min="5" max="8" width="9.54296875" customWidth="1" outlineLevel="1"/>
    <col min="9" max="9" width="11.26953125" customWidth="1" outlineLevel="1"/>
    <col min="10" max="10" width="11" customWidth="1" outlineLevel="1"/>
    <col min="11" max="12" width="9.54296875" customWidth="1"/>
    <col min="13" max="13" width="15.54296875" customWidth="1"/>
    <col min="14" max="18" width="9.54296875" customWidth="1"/>
    <col min="22" max="26" width="10.453125" bestFit="1" customWidth="1"/>
    <col min="27" max="27" width="12" bestFit="1" customWidth="1"/>
    <col min="30" max="30" width="10.453125" bestFit="1" customWidth="1"/>
  </cols>
  <sheetData>
    <row r="2" spans="1:18" s="10" customFormat="1" ht="21" x14ac:dyDescent="0.5">
      <c r="B2" s="11" t="s">
        <v>159</v>
      </c>
    </row>
    <row r="4" spans="1:18" x14ac:dyDescent="0.35">
      <c r="A4" t="s">
        <v>46</v>
      </c>
      <c r="B4" t="s">
        <v>44</v>
      </c>
      <c r="C4" s="14" t="s">
        <v>114</v>
      </c>
      <c r="E4" t="s">
        <v>73</v>
      </c>
      <c r="G4" s="66"/>
      <c r="M4" s="43"/>
      <c r="R4" s="44"/>
    </row>
    <row r="5" spans="1:18" x14ac:dyDescent="0.35">
      <c r="B5" t="s">
        <v>45</v>
      </c>
      <c r="C5" s="15">
        <v>46287</v>
      </c>
      <c r="E5" t="s">
        <v>76</v>
      </c>
      <c r="G5" s="66"/>
      <c r="I5" t="s">
        <v>88</v>
      </c>
      <c r="K5" s="67"/>
      <c r="M5" s="43"/>
    </row>
    <row r="7" spans="1:18" x14ac:dyDescent="0.35">
      <c r="A7" t="s">
        <v>46</v>
      </c>
      <c r="B7" s="13" t="s">
        <v>47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8" x14ac:dyDescent="0.35">
      <c r="B8" s="28" t="s">
        <v>66</v>
      </c>
    </row>
    <row r="9" spans="1:18" x14ac:dyDescent="0.35">
      <c r="B9" t="s">
        <v>64</v>
      </c>
      <c r="D9" s="29">
        <f>WACC!D22</f>
        <v>0.14167105263157895</v>
      </c>
      <c r="I9" t="s">
        <v>89</v>
      </c>
    </row>
    <row r="10" spans="1:18" x14ac:dyDescent="0.35">
      <c r="B10" t="s">
        <v>65</v>
      </c>
      <c r="D10" s="29">
        <v>0.03</v>
      </c>
    </row>
    <row r="11" spans="1:18" outlineLevel="1" x14ac:dyDescent="0.35">
      <c r="I11">
        <v>1</v>
      </c>
      <c r="J11">
        <v>2</v>
      </c>
      <c r="K11">
        <v>3</v>
      </c>
      <c r="L11">
        <v>4</v>
      </c>
      <c r="M11">
        <v>5</v>
      </c>
    </row>
    <row r="12" spans="1:18" outlineLevel="1" x14ac:dyDescent="0.35">
      <c r="A12" t="s">
        <v>46</v>
      </c>
      <c r="B12" s="13" t="s">
        <v>48</v>
      </c>
      <c r="C12" s="12"/>
      <c r="D12" s="12"/>
      <c r="E12" s="77">
        <v>2022</v>
      </c>
      <c r="F12" s="77">
        <v>2023</v>
      </c>
      <c r="G12" s="77">
        <v>2024</v>
      </c>
      <c r="H12" s="77">
        <v>2025</v>
      </c>
      <c r="I12" s="78">
        <v>2026</v>
      </c>
      <c r="J12" s="77">
        <v>2027</v>
      </c>
      <c r="K12" s="77">
        <v>2028</v>
      </c>
      <c r="L12" s="77">
        <v>2029</v>
      </c>
      <c r="M12" s="77">
        <v>2030</v>
      </c>
      <c r="N12" s="77"/>
    </row>
    <row r="13" spans="1:18" s="16" customFormat="1" outlineLevel="1" x14ac:dyDescent="0.35">
      <c r="B13" s="16" t="s">
        <v>51</v>
      </c>
      <c r="E13" s="23">
        <f>IS!K5</f>
        <v>9000</v>
      </c>
      <c r="F13" s="23">
        <f>IS!L5</f>
        <v>8990</v>
      </c>
      <c r="G13" s="23">
        <f>IS!M5</f>
        <v>9972</v>
      </c>
      <c r="H13" s="23">
        <f>IS!N5</f>
        <v>8164</v>
      </c>
      <c r="I13" s="48">
        <f>(2032*4)</f>
        <v>8128</v>
      </c>
      <c r="J13" s="23">
        <f ca="1">I13+Vostok_Production!C9</f>
        <v>9613.4672565771871</v>
      </c>
      <c r="K13" s="23">
        <f ca="1">I13+Vostok_Production!D9</f>
        <v>9732.397743535048</v>
      </c>
      <c r="L13" s="23">
        <f ca="1">I13+Vostok_Production!E9</f>
        <v>9950.2977714710178</v>
      </c>
      <c r="M13" s="23">
        <f ca="1">I13+Vostok_Production!F9</f>
        <v>10193.45715897875</v>
      </c>
      <c r="N13" s="23"/>
    </row>
    <row r="14" spans="1:18" s="16" customFormat="1" outlineLevel="1" x14ac:dyDescent="0.35">
      <c r="B14" s="20" t="s">
        <v>52</v>
      </c>
      <c r="E14" s="19"/>
      <c r="F14" s="19">
        <f>F13/E13-1</f>
        <v>-1.1111111111110628E-3</v>
      </c>
      <c r="G14" s="19">
        <f>G13/F13-1</f>
        <v>0.10923248053392665</v>
      </c>
      <c r="H14" s="19">
        <f>H13/G13-1</f>
        <v>-0.18130766145206578</v>
      </c>
      <c r="I14" s="19">
        <f>I13/H13-1</f>
        <v>-4.40960313571781E-3</v>
      </c>
      <c r="J14" s="19">
        <f ca="1">J13/I13-1</f>
        <v>0.18275925892927991</v>
      </c>
      <c r="K14" s="19">
        <f t="shared" ref="K14:M14" ca="1" si="0">K13/J13-1</f>
        <v>1.2371237534146928E-2</v>
      </c>
      <c r="L14" s="19">
        <f t="shared" ca="1" si="0"/>
        <v>2.2389141265903856E-2</v>
      </c>
      <c r="M14" s="19">
        <f t="shared" ca="1" si="0"/>
        <v>2.4437398065101812E-2</v>
      </c>
      <c r="N14" s="19"/>
    </row>
    <row r="15" spans="1:18" s="16" customFormat="1" outlineLevel="1" x14ac:dyDescent="0.35">
      <c r="B15" s="17"/>
      <c r="I15" s="50"/>
    </row>
    <row r="16" spans="1:18" s="16" customFormat="1" outlineLevel="1" x14ac:dyDescent="0.35">
      <c r="B16" s="16" t="s">
        <v>53</v>
      </c>
      <c r="E16" s="23">
        <f>IS!K15-IS!K18</f>
        <v>1522</v>
      </c>
      <c r="F16" s="23">
        <f>IS!L15-IS!L18</f>
        <v>2236</v>
      </c>
      <c r="G16" s="23">
        <f>IS!M15-IS!M18</f>
        <v>2180</v>
      </c>
      <c r="H16" s="23">
        <f>IS!N15-IS!N18</f>
        <v>1204</v>
      </c>
      <c r="I16" s="23">
        <f>IS!O15-DCF!I23</f>
        <v>2083.6754493898966</v>
      </c>
      <c r="J16" s="23">
        <f ca="1">(($I$13*22%)+(Vostok_Production!C9*28%))-J13*(J24-$I$24)</f>
        <v>2110.1810922516856</v>
      </c>
      <c r="K16" s="23">
        <f ca="1">(($I$13*22%)+(Vostok_Production!D9*28%))-K13*(K24-$I$24)</f>
        <v>2047.2483296194871</v>
      </c>
      <c r="L16" s="23">
        <f ca="1">(($I$13*22%)+(Vostok_Production!E9*28%))-L13*(L24-$I$24)</f>
        <v>2006.8031091294761</v>
      </c>
      <c r="M16" s="23">
        <f ca="1">(($I$13*22%)+(Vostok_Production!F9*28%))-M13*(M24-$I$24)</f>
        <v>1968.1863796072444</v>
      </c>
      <c r="N16" s="23"/>
    </row>
    <row r="17" spans="1:16" s="16" customFormat="1" outlineLevel="1" x14ac:dyDescent="0.35">
      <c r="B17" s="20" t="s">
        <v>54</v>
      </c>
      <c r="E17" s="19">
        <f>E16/E13</f>
        <v>0.1691111111111111</v>
      </c>
      <c r="F17" s="19">
        <f>F16/F13</f>
        <v>0.24872080088987764</v>
      </c>
      <c r="G17" s="19">
        <f>G16/G13</f>
        <v>0.21861211391897312</v>
      </c>
      <c r="H17" s="19">
        <f>H16/H13</f>
        <v>0.1474767270945615</v>
      </c>
      <c r="I17" s="49">
        <f>I16/I13</f>
        <v>0.25635770784816642</v>
      </c>
      <c r="J17" s="49">
        <f t="shared" ref="J17:M17" ca="1" si="1">J16/J13</f>
        <v>0.21950260358019902</v>
      </c>
      <c r="K17" s="49">
        <f t="shared" ca="1" si="1"/>
        <v>0.21035395218813527</v>
      </c>
      <c r="L17" s="49">
        <f t="shared" ca="1" si="1"/>
        <v>0.20168271897181597</v>
      </c>
      <c r="M17" s="49">
        <f t="shared" ca="1" si="1"/>
        <v>0.19308330323177919</v>
      </c>
      <c r="N17" s="19"/>
    </row>
    <row r="18" spans="1:16" s="16" customFormat="1" outlineLevel="1" x14ac:dyDescent="0.35">
      <c r="I18" s="50"/>
      <c r="K18" s="123"/>
    </row>
    <row r="19" spans="1:16" s="16" customFormat="1" outlineLevel="1" x14ac:dyDescent="0.35">
      <c r="B19" s="16" t="s">
        <v>55</v>
      </c>
      <c r="E19" s="23" t="str">
        <f>IS!F27</f>
        <v>-</v>
      </c>
      <c r="F19" s="23">
        <f>IS!L27</f>
        <v>438</v>
      </c>
      <c r="G19" s="23">
        <f>IS!M27</f>
        <v>552</v>
      </c>
      <c r="H19" s="23">
        <f>IS!N27</f>
        <v>275</v>
      </c>
      <c r="I19" s="23">
        <f>I16*20%</f>
        <v>416.73508987797936</v>
      </c>
      <c r="J19" s="23">
        <f ca="1">J16*J20</f>
        <v>462.92194496200489</v>
      </c>
      <c r="K19" s="23">
        <f t="shared" ref="K19:M19" ca="1" si="2">K16*K20</f>
        <v>461.13848091513148</v>
      </c>
      <c r="L19" s="23">
        <f t="shared" ca="1" si="2"/>
        <v>437.99918748059702</v>
      </c>
      <c r="M19" s="23">
        <f t="shared" ca="1" si="2"/>
        <v>424.5774534355628</v>
      </c>
      <c r="N19" s="23"/>
    </row>
    <row r="20" spans="1:16" s="16" customFormat="1" outlineLevel="1" x14ac:dyDescent="0.35">
      <c r="B20" s="20" t="s">
        <v>56</v>
      </c>
      <c r="E20" s="19" t="e">
        <f>E19/E16</f>
        <v>#VALUE!</v>
      </c>
      <c r="F20" s="19">
        <f>F19/F16</f>
        <v>0.19588550983899822</v>
      </c>
      <c r="G20" s="19">
        <f>G19/G16</f>
        <v>0.25321100917431194</v>
      </c>
      <c r="H20" s="19">
        <f>H19/H16</f>
        <v>0.22840531561461794</v>
      </c>
      <c r="I20" s="49">
        <f>I19/I16</f>
        <v>0.2</v>
      </c>
      <c r="J20" s="49">
        <f>AVERAGE(F20:I20)</f>
        <v>0.21937545865698205</v>
      </c>
      <c r="K20" s="49">
        <f t="shared" ref="K20:M20" si="3">AVERAGE(G20:J20)</f>
        <v>0.22524794586147801</v>
      </c>
      <c r="L20" s="49">
        <f t="shared" si="3"/>
        <v>0.21825718003326949</v>
      </c>
      <c r="M20" s="49">
        <f t="shared" si="3"/>
        <v>0.21572014613793239</v>
      </c>
      <c r="N20" s="19"/>
    </row>
    <row r="21" spans="1:16" s="16" customFormat="1" outlineLevel="1" x14ac:dyDescent="0.35">
      <c r="I21" s="50"/>
    </row>
    <row r="22" spans="1:16" outlineLevel="1" x14ac:dyDescent="0.35">
      <c r="A22" t="s">
        <v>46</v>
      </c>
      <c r="B22" s="13" t="s">
        <v>49</v>
      </c>
      <c r="C22" s="12"/>
      <c r="D22" s="12"/>
      <c r="E22" s="77">
        <v>2022</v>
      </c>
      <c r="F22" s="77">
        <v>2023</v>
      </c>
      <c r="G22" s="77">
        <v>2024</v>
      </c>
      <c r="H22" s="77">
        <v>2025</v>
      </c>
      <c r="I22" s="78">
        <v>2026</v>
      </c>
      <c r="J22" s="77">
        <v>2027</v>
      </c>
      <c r="K22" s="77">
        <v>2028</v>
      </c>
      <c r="L22" s="77">
        <v>2029</v>
      </c>
      <c r="M22" s="77">
        <v>2030</v>
      </c>
      <c r="N22" s="77"/>
    </row>
    <row r="23" spans="1:16" s="16" customFormat="1" outlineLevel="1" x14ac:dyDescent="0.35">
      <c r="B23" s="16" t="s">
        <v>57</v>
      </c>
      <c r="E23" s="23">
        <f>IS!K18</f>
        <v>1029</v>
      </c>
      <c r="F23" s="23">
        <f>IS!L18</f>
        <v>769</v>
      </c>
      <c r="G23" s="23">
        <f>IS!M18</f>
        <v>849</v>
      </c>
      <c r="H23" s="23">
        <f>IS!N18</f>
        <v>969</v>
      </c>
      <c r="I23" s="23">
        <f>I13*I24</f>
        <v>820.32455061010342</v>
      </c>
      <c r="J23" s="137">
        <f ca="1">J13*J24</f>
        <v>1064.1561971510271</v>
      </c>
      <c r="K23" s="137">
        <f t="shared" ref="K23:M23" ca="1" si="4">K13*K24</f>
        <v>1172.3926455245803</v>
      </c>
      <c r="L23" s="137">
        <f t="shared" ca="1" si="4"/>
        <v>1295.8415990451399</v>
      </c>
      <c r="M23" s="137">
        <f t="shared" ca="1" si="4"/>
        <v>1427.0840022570255</v>
      </c>
      <c r="N23" s="137"/>
    </row>
    <row r="24" spans="1:16" s="16" customFormat="1" outlineLevel="1" x14ac:dyDescent="0.35">
      <c r="B24" s="20" t="s">
        <v>54</v>
      </c>
      <c r="E24" s="19">
        <f>E23/E13</f>
        <v>0.11433333333333333</v>
      </c>
      <c r="F24" s="19">
        <f>F23/F13</f>
        <v>8.5539488320355947E-2</v>
      </c>
      <c r="G24" s="19">
        <f>G23/G13</f>
        <v>8.5138387484957875E-2</v>
      </c>
      <c r="H24" s="19">
        <f>H23/H13</f>
        <v>0.11869181773640372</v>
      </c>
      <c r="I24" s="49">
        <f>AVERAGE(E24:H24)</f>
        <v>0.10092575671876272</v>
      </c>
      <c r="J24" s="25">
        <f>I24 + (14% - I24) / 4</f>
        <v>0.11069431753907205</v>
      </c>
      <c r="K24" s="25">
        <f>J24 + (14% - $I$24) / 4</f>
        <v>0.12046287835938138</v>
      </c>
      <c r="L24" s="25">
        <f t="shared" ref="K24:M24" si="5">K24 + (14% - $I$24) / 4</f>
        <v>0.13023143917969071</v>
      </c>
      <c r="M24" s="25">
        <f t="shared" si="5"/>
        <v>0.14000000000000004</v>
      </c>
      <c r="N24" s="19"/>
    </row>
    <row r="25" spans="1:16" s="16" customFormat="1" outlineLevel="1" x14ac:dyDescent="0.35">
      <c r="E25" s="18"/>
      <c r="F25" s="18"/>
      <c r="G25" s="18"/>
      <c r="H25" s="18"/>
      <c r="I25" s="51"/>
      <c r="J25" s="18"/>
      <c r="K25" s="18"/>
      <c r="L25" s="18"/>
      <c r="M25" s="18"/>
      <c r="N25" s="18"/>
    </row>
    <row r="26" spans="1:16" s="16" customFormat="1" outlineLevel="1" x14ac:dyDescent="0.35">
      <c r="B26" s="16" t="s">
        <v>58</v>
      </c>
      <c r="E26" s="23">
        <f>IS!K11</f>
        <v>1132</v>
      </c>
      <c r="F26" s="23">
        <f>IS!L11</f>
        <v>1297</v>
      </c>
      <c r="G26" s="23">
        <f>IS!M11</f>
        <v>1442</v>
      </c>
      <c r="H26" s="23">
        <f>IS!N11</f>
        <v>1538</v>
      </c>
      <c r="I26" s="23">
        <f>IS!O11</f>
        <v>1716</v>
      </c>
      <c r="J26" s="23">
        <f ca="1">J13*J27</f>
        <v>1882.7161883636277</v>
      </c>
      <c r="K26" s="23">
        <f t="shared" ref="K26:M26" ca="1" si="6">K13*K27</f>
        <v>1757.2916988695911</v>
      </c>
      <c r="L26" s="23">
        <f t="shared" ca="1" si="6"/>
        <v>1644.5903083408173</v>
      </c>
      <c r="M26" s="23">
        <f t="shared" ca="1" si="6"/>
        <v>1529.0185738468122</v>
      </c>
      <c r="N26" s="38"/>
    </row>
    <row r="27" spans="1:16" s="16" customFormat="1" outlineLevel="1" x14ac:dyDescent="0.35">
      <c r="B27" s="20" t="s">
        <v>54</v>
      </c>
      <c r="E27" s="19">
        <f>E26/E13</f>
        <v>0.12577777777777777</v>
      </c>
      <c r="F27" s="19">
        <f>F26/F13</f>
        <v>0.14427141268075638</v>
      </c>
      <c r="G27" s="19">
        <f>G26/G13</f>
        <v>0.14460489370236662</v>
      </c>
      <c r="H27" s="19">
        <f>H26/H13</f>
        <v>0.18838804507594317</v>
      </c>
      <c r="I27" s="49">
        <f>I26/I13</f>
        <v>0.2111220472440945</v>
      </c>
      <c r="J27" s="25">
        <f>I27 - ( $I$27 - 15% ) / 4</f>
        <v>0.19584153543307087</v>
      </c>
      <c r="K27" s="25">
        <f t="shared" ref="K27:M27" si="7">J27 - ( $I$27 - 15% ) / 4</f>
        <v>0.18056102362204723</v>
      </c>
      <c r="L27" s="25">
        <f t="shared" si="7"/>
        <v>0.1652805118110236</v>
      </c>
      <c r="M27" s="25">
        <f t="shared" si="7"/>
        <v>0.14999999999999997</v>
      </c>
      <c r="N27" s="19"/>
    </row>
    <row r="28" spans="1:16" s="16" customFormat="1" outlineLevel="1" x14ac:dyDescent="0.35">
      <c r="B28" s="16" t="s">
        <v>191</v>
      </c>
      <c r="E28" s="18"/>
      <c r="F28" s="18"/>
      <c r="G28" s="18"/>
      <c r="H28" s="23">
        <v>567</v>
      </c>
      <c r="I28" s="51">
        <f>I13*$H$28/$H$13</f>
        <v>564.49975502204802</v>
      </c>
      <c r="J28" s="18">
        <f ca="1">J13*$H$28/$H$13</f>
        <v>667.66731191563758</v>
      </c>
      <c r="K28" s="18">
        <f ca="1">K13*$H$28/$H$13</f>
        <v>675.92718282513124</v>
      </c>
      <c r="L28" s="18">
        <f ca="1">L13*$H$28/$H$13</f>
        <v>691.06061200686759</v>
      </c>
      <c r="M28" s="18">
        <f ca="1">M13*$H$28/$H$13</f>
        <v>707.94833526959235</v>
      </c>
      <c r="N28" s="18"/>
      <c r="P28" t="s">
        <v>192</v>
      </c>
    </row>
    <row r="29" spans="1:16" s="16" customFormat="1" outlineLevel="1" x14ac:dyDescent="0.35">
      <c r="B29" s="16" t="s">
        <v>59</v>
      </c>
      <c r="E29" s="27"/>
      <c r="F29" s="27">
        <f>(BS!D9-BS!D12)-(BS!C9-BS!C12)</f>
        <v>-708</v>
      </c>
      <c r="G29" s="27">
        <f>(BS!E9-BS!E12)-(BS!D9-BS!D12)</f>
        <v>-1901</v>
      </c>
      <c r="H29" s="27">
        <f>(BS!F9-BS!F12)-(BS!E9-BS!E12)</f>
        <v>-323</v>
      </c>
      <c r="I29" s="138">
        <f t="shared" ref="I29:N29" si="8">I28-H28</f>
        <v>-2.5002449779519793</v>
      </c>
      <c r="J29" s="138">
        <f t="shared" ca="1" si="8"/>
        <v>103.16755689358956</v>
      </c>
      <c r="K29" s="138">
        <f t="shared" ca="1" si="8"/>
        <v>8.2598709094936567</v>
      </c>
      <c r="L29" s="138">
        <f t="shared" ca="1" si="8"/>
        <v>15.133429181736346</v>
      </c>
      <c r="M29" s="138">
        <f t="shared" ca="1" si="8"/>
        <v>16.887723262724762</v>
      </c>
      <c r="N29" s="138"/>
    </row>
    <row r="30" spans="1:16" s="16" customFormat="1" outlineLevel="1" x14ac:dyDescent="0.35">
      <c r="B30" s="20" t="s">
        <v>54</v>
      </c>
      <c r="E30" s="46">
        <f t="shared" ref="E30:M30" si="9">E29/E13</f>
        <v>0</v>
      </c>
      <c r="F30" s="46">
        <f t="shared" si="9"/>
        <v>-7.8754171301446046E-2</v>
      </c>
      <c r="G30" s="46">
        <f t="shared" si="9"/>
        <v>-0.19063377456879263</v>
      </c>
      <c r="H30" s="46">
        <f t="shared" si="9"/>
        <v>-3.9563939245467909E-2</v>
      </c>
      <c r="I30" s="54">
        <f t="shared" si="9"/>
        <v>-3.0760888016141479E-4</v>
      </c>
      <c r="J30" s="25">
        <f t="shared" ca="1" si="9"/>
        <v>1.0731565848212157E-2</v>
      </c>
      <c r="K30" s="19">
        <f t="shared" ca="1" si="9"/>
        <v>8.4869845305905744E-4</v>
      </c>
      <c r="L30" s="19">
        <f t="shared" ca="1" si="9"/>
        <v>1.5209021407506151E-3</v>
      </c>
      <c r="M30" s="19">
        <f t="shared" ca="1" si="9"/>
        <v>1.6567218559259329E-3</v>
      </c>
      <c r="N30" s="19"/>
    </row>
    <row r="31" spans="1:16" x14ac:dyDescent="0.35">
      <c r="I31" s="52">
        <v>1</v>
      </c>
      <c r="J31">
        <v>2</v>
      </c>
      <c r="K31">
        <v>3</v>
      </c>
      <c r="L31">
        <v>4</v>
      </c>
      <c r="M31">
        <v>5</v>
      </c>
    </row>
    <row r="32" spans="1:16" x14ac:dyDescent="0.35">
      <c r="A32" t="s">
        <v>46</v>
      </c>
      <c r="B32" s="13" t="s">
        <v>50</v>
      </c>
      <c r="C32" s="12"/>
      <c r="D32" s="12"/>
      <c r="E32" s="77">
        <f>E22</f>
        <v>2022</v>
      </c>
      <c r="F32" s="77">
        <f t="shared" ref="F32:N32" si="10">F22</f>
        <v>2023</v>
      </c>
      <c r="G32" s="77">
        <f t="shared" si="10"/>
        <v>2024</v>
      </c>
      <c r="H32" s="77">
        <f t="shared" si="10"/>
        <v>2025</v>
      </c>
      <c r="I32" s="77">
        <f t="shared" si="10"/>
        <v>2026</v>
      </c>
      <c r="J32" s="77">
        <f t="shared" si="10"/>
        <v>2027</v>
      </c>
      <c r="K32" s="77">
        <f t="shared" si="10"/>
        <v>2028</v>
      </c>
      <c r="L32" s="77">
        <f t="shared" si="10"/>
        <v>2029</v>
      </c>
      <c r="M32" s="77">
        <f t="shared" si="10"/>
        <v>2030</v>
      </c>
      <c r="N32" s="77">
        <f t="shared" si="10"/>
        <v>0</v>
      </c>
    </row>
    <row r="33" spans="2:30" x14ac:dyDescent="0.35">
      <c r="B33" t="s">
        <v>51</v>
      </c>
      <c r="E33" s="24">
        <f t="shared" ref="E33:I33" si="11">E13</f>
        <v>9000</v>
      </c>
      <c r="F33" s="24">
        <f t="shared" si="11"/>
        <v>8990</v>
      </c>
      <c r="G33" s="24">
        <f t="shared" si="11"/>
        <v>9972</v>
      </c>
      <c r="H33" s="24">
        <f t="shared" si="11"/>
        <v>8164</v>
      </c>
      <c r="I33" s="24">
        <f t="shared" si="11"/>
        <v>8128</v>
      </c>
      <c r="J33" s="30">
        <f ca="1">J13</f>
        <v>9613.4672565771871</v>
      </c>
      <c r="K33" s="30">
        <f t="shared" ref="K33:M33" ca="1" si="12">K13</f>
        <v>9732.397743535048</v>
      </c>
      <c r="L33" s="30">
        <f t="shared" ca="1" si="12"/>
        <v>9950.2977714710178</v>
      </c>
      <c r="M33" s="30">
        <f t="shared" ca="1" si="12"/>
        <v>10193.45715897875</v>
      </c>
      <c r="N33" s="30"/>
    </row>
    <row r="34" spans="2:30" x14ac:dyDescent="0.35">
      <c r="B34" s="21" t="s">
        <v>52</v>
      </c>
      <c r="E34" s="31"/>
      <c r="F34" s="31">
        <f>F33/E33-1</f>
        <v>-1.1111111111110628E-3</v>
      </c>
      <c r="G34" s="31">
        <f>G33/F33-1</f>
        <v>0.10923248053392665</v>
      </c>
      <c r="H34" s="31">
        <f>H33/G33-1</f>
        <v>-0.18130766145206578</v>
      </c>
      <c r="I34" s="31">
        <f>I33/H33-1</f>
        <v>-4.40960313571781E-3</v>
      </c>
      <c r="J34" s="45">
        <f ca="1">J14</f>
        <v>0.18275925892927991</v>
      </c>
      <c r="K34" s="45">
        <f t="shared" ref="K34:M34" ca="1" si="13">K14</f>
        <v>1.2371237534146928E-2</v>
      </c>
      <c r="L34" s="45">
        <f ca="1">L14</f>
        <v>2.2389141265903856E-2</v>
      </c>
      <c r="M34" s="45">
        <f t="shared" ca="1" si="13"/>
        <v>2.4437398065101812E-2</v>
      </c>
      <c r="N34" s="45"/>
      <c r="U34" s="16"/>
      <c r="Y34" s="36"/>
      <c r="Z34" s="36"/>
      <c r="AA34" s="36"/>
    </row>
    <row r="35" spans="2:30" x14ac:dyDescent="0.35">
      <c r="I35" s="52"/>
      <c r="Y35" s="36"/>
      <c r="Z35" s="36"/>
      <c r="AA35" s="36"/>
    </row>
    <row r="36" spans="2:30" x14ac:dyDescent="0.35">
      <c r="B36" t="s">
        <v>53</v>
      </c>
      <c r="E36" s="24">
        <f t="shared" ref="E36:J36" si="14">E16</f>
        <v>1522</v>
      </c>
      <c r="F36" s="24">
        <f t="shared" si="14"/>
        <v>2236</v>
      </c>
      <c r="G36" s="24">
        <f t="shared" si="14"/>
        <v>2180</v>
      </c>
      <c r="H36" s="24">
        <f t="shared" si="14"/>
        <v>1204</v>
      </c>
      <c r="I36" s="24">
        <f t="shared" si="14"/>
        <v>2083.6754493898966</v>
      </c>
      <c r="J36" s="30">
        <f t="shared" ca="1" si="14"/>
        <v>2110.1810922516856</v>
      </c>
      <c r="K36" s="30">
        <f ca="1">K16</f>
        <v>2047.2483296194871</v>
      </c>
      <c r="L36" s="30">
        <f t="shared" ref="K36:M36" ca="1" si="15">L16</f>
        <v>2006.8031091294761</v>
      </c>
      <c r="M36" s="30">
        <f t="shared" ca="1" si="15"/>
        <v>1968.1863796072444</v>
      </c>
      <c r="N36" s="30"/>
      <c r="V36" s="22"/>
      <c r="W36" s="22"/>
      <c r="X36" s="22"/>
      <c r="Y36" s="22"/>
      <c r="Z36" s="22"/>
      <c r="AA36" s="22"/>
    </row>
    <row r="37" spans="2:30" x14ac:dyDescent="0.35">
      <c r="B37" s="21" t="s">
        <v>60</v>
      </c>
      <c r="E37" s="31">
        <f>E36/E33</f>
        <v>0.1691111111111111</v>
      </c>
      <c r="F37" s="31">
        <f>F36/F33</f>
        <v>0.24872080088987764</v>
      </c>
      <c r="G37" s="31">
        <f>G36/G33</f>
        <v>0.21861211391897312</v>
      </c>
      <c r="H37" s="31">
        <f>H36/H33</f>
        <v>0.1474767270945615</v>
      </c>
      <c r="I37" s="31">
        <f>I36/I33</f>
        <v>0.25635770784816642</v>
      </c>
      <c r="J37" s="45">
        <f ca="1">J17</f>
        <v>0.21950260358019902</v>
      </c>
      <c r="K37" s="45">
        <f t="shared" ref="K37:M37" ca="1" si="16">K17</f>
        <v>0.21035395218813527</v>
      </c>
      <c r="L37" s="45">
        <f t="shared" ca="1" si="16"/>
        <v>0.20168271897181597</v>
      </c>
      <c r="M37" s="45">
        <f t="shared" ca="1" si="16"/>
        <v>0.19308330323177919</v>
      </c>
      <c r="N37" s="45"/>
      <c r="O37" s="45"/>
      <c r="P37" s="72" t="s">
        <v>90</v>
      </c>
      <c r="Q37" s="12"/>
      <c r="R37" s="12"/>
      <c r="S37" s="12"/>
      <c r="T37" s="12"/>
      <c r="U37" s="12"/>
      <c r="V37" s="71"/>
      <c r="W37" s="71"/>
      <c r="X37" s="71"/>
      <c r="Y37" s="37"/>
      <c r="Z37" s="37"/>
      <c r="AA37" s="37"/>
    </row>
    <row r="38" spans="2:30" x14ac:dyDescent="0.35">
      <c r="I38" s="52"/>
      <c r="K38" s="35"/>
      <c r="L38" s="35"/>
      <c r="U38" s="16"/>
      <c r="Y38" s="18"/>
      <c r="Z38" s="18"/>
      <c r="AA38" s="18"/>
      <c r="AB38" s="16"/>
      <c r="AC38" s="16"/>
      <c r="AD38" s="16"/>
    </row>
    <row r="39" spans="2:30" x14ac:dyDescent="0.35">
      <c r="B39" t="s">
        <v>55</v>
      </c>
      <c r="E39" s="70">
        <f>E36*E40</f>
        <v>304.40000000000003</v>
      </c>
      <c r="F39" s="70">
        <f>IS!L27</f>
        <v>438</v>
      </c>
      <c r="G39" s="70">
        <f>IS!M27</f>
        <v>552</v>
      </c>
      <c r="H39" s="70">
        <f>IS!N27</f>
        <v>275</v>
      </c>
      <c r="I39" s="70">
        <f>I36*I40</f>
        <v>457.10725740220175</v>
      </c>
      <c r="J39" s="30">
        <f ca="1">J19</f>
        <v>462.92194496200489</v>
      </c>
      <c r="K39" s="30">
        <f t="shared" ref="K39:M39" ca="1" si="17">K19</f>
        <v>461.13848091513148</v>
      </c>
      <c r="L39" s="30">
        <f t="shared" ca="1" si="17"/>
        <v>437.99918748059702</v>
      </c>
      <c r="M39" s="30">
        <f t="shared" ca="1" si="17"/>
        <v>424.5774534355628</v>
      </c>
      <c r="N39" s="30"/>
      <c r="U39" s="16"/>
      <c r="Y39" s="18"/>
      <c r="Z39" s="18"/>
      <c r="AA39" s="18"/>
      <c r="AB39" s="16"/>
      <c r="AC39" s="16"/>
      <c r="AD39" s="16"/>
    </row>
    <row r="40" spans="2:30" x14ac:dyDescent="0.35">
      <c r="B40" s="21" t="s">
        <v>56</v>
      </c>
      <c r="E40" s="26">
        <v>0.2</v>
      </c>
      <c r="F40" s="26">
        <f>F39/F36</f>
        <v>0.19588550983899822</v>
      </c>
      <c r="G40" s="26">
        <f>G39/G36</f>
        <v>0.25321100917431194</v>
      </c>
      <c r="H40" s="26">
        <f>H39/H36</f>
        <v>0.22840531561461794</v>
      </c>
      <c r="I40" s="104">
        <f>AVERAGE(E40:H40)</f>
        <v>0.21937545865698205</v>
      </c>
      <c r="J40" s="45">
        <f>J20</f>
        <v>0.21937545865698205</v>
      </c>
      <c r="K40" s="45">
        <f t="shared" ref="K40:M40" si="18">K20</f>
        <v>0.22524794586147801</v>
      </c>
      <c r="L40" s="45">
        <f t="shared" si="18"/>
        <v>0.21825718003326949</v>
      </c>
      <c r="M40" s="45">
        <f t="shared" si="18"/>
        <v>0.21572014613793239</v>
      </c>
      <c r="N40" s="45"/>
      <c r="U40" s="16"/>
      <c r="Y40" s="33"/>
      <c r="Z40" s="33"/>
      <c r="AA40" s="33"/>
      <c r="AB40" s="16"/>
      <c r="AC40" s="16"/>
      <c r="AD40" s="16"/>
    </row>
    <row r="41" spans="2:30" x14ac:dyDescent="0.35">
      <c r="I41" s="52"/>
      <c r="U41" s="16"/>
      <c r="Y41" s="34"/>
      <c r="Z41" s="34"/>
      <c r="AA41" s="34"/>
      <c r="AB41" s="34"/>
      <c r="AC41" s="34"/>
      <c r="AD41" s="34"/>
    </row>
    <row r="42" spans="2:30" x14ac:dyDescent="0.35">
      <c r="B42" s="59" t="s">
        <v>61</v>
      </c>
      <c r="C42" s="60"/>
      <c r="D42" s="60"/>
      <c r="E42" s="103">
        <f>E39-E36</f>
        <v>-1217.5999999999999</v>
      </c>
      <c r="F42" s="103">
        <f t="shared" ref="F42:M42" si="19">F36-F39</f>
        <v>1798</v>
      </c>
      <c r="G42" s="103">
        <f t="shared" si="19"/>
        <v>1628</v>
      </c>
      <c r="H42" s="103">
        <f t="shared" si="19"/>
        <v>929</v>
      </c>
      <c r="I42" s="103">
        <f t="shared" si="19"/>
        <v>1626.5681919876947</v>
      </c>
      <c r="J42" s="62">
        <f t="shared" ca="1" si="19"/>
        <v>1647.2591472896806</v>
      </c>
      <c r="K42" s="62">
        <f t="shared" ca="1" si="19"/>
        <v>1586.1098487043555</v>
      </c>
      <c r="L42" s="62">
        <f t="shared" ca="1" si="19"/>
        <v>1568.8039216488792</v>
      </c>
      <c r="M42" s="62">
        <f t="shared" ca="1" si="19"/>
        <v>1543.6089261716816</v>
      </c>
      <c r="N42" s="62"/>
      <c r="U42" s="16"/>
      <c r="Y42" s="33"/>
      <c r="Z42" s="33"/>
      <c r="AA42" s="33"/>
      <c r="AB42" s="33"/>
      <c r="AC42" s="33"/>
      <c r="AD42" s="33"/>
    </row>
    <row r="43" spans="2:30" x14ac:dyDescent="0.35">
      <c r="I43" s="52"/>
      <c r="K43" s="22"/>
      <c r="U43" s="16"/>
      <c r="Y43" s="16"/>
      <c r="Z43" s="16"/>
      <c r="AA43" s="16"/>
      <c r="AB43" s="16"/>
      <c r="AC43" s="16"/>
      <c r="AD43" s="16"/>
    </row>
    <row r="44" spans="2:30" x14ac:dyDescent="0.35">
      <c r="B44" t="s">
        <v>57</v>
      </c>
      <c r="E44" s="24">
        <f t="shared" ref="E44:J44" si="20">E23</f>
        <v>1029</v>
      </c>
      <c r="F44" s="24">
        <f t="shared" si="20"/>
        <v>769</v>
      </c>
      <c r="G44" s="24">
        <f t="shared" si="20"/>
        <v>849</v>
      </c>
      <c r="H44" s="24">
        <f t="shared" si="20"/>
        <v>969</v>
      </c>
      <c r="I44" s="24">
        <f t="shared" si="20"/>
        <v>820.32455061010342</v>
      </c>
      <c r="J44" s="24">
        <f t="shared" ca="1" si="20"/>
        <v>1064.1561971510271</v>
      </c>
      <c r="K44" s="24">
        <f t="shared" ref="K44:M44" ca="1" si="21">K23</f>
        <v>1172.3926455245803</v>
      </c>
      <c r="L44" s="24">
        <f t="shared" ca="1" si="21"/>
        <v>1295.8415990451399</v>
      </c>
      <c r="M44" s="24">
        <f t="shared" ca="1" si="21"/>
        <v>1427.0840022570255</v>
      </c>
      <c r="N44" s="24"/>
      <c r="U44" s="16"/>
    </row>
    <row r="45" spans="2:30" x14ac:dyDescent="0.35">
      <c r="B45" s="21" t="s">
        <v>54</v>
      </c>
      <c r="E45" s="31">
        <f>E44/E33</f>
        <v>0.11433333333333333</v>
      </c>
      <c r="F45" s="31">
        <f>F44/F33</f>
        <v>8.5539488320355947E-2</v>
      </c>
      <c r="G45" s="31">
        <f>G44/G33</f>
        <v>8.5138387484957875E-2</v>
      </c>
      <c r="H45" s="31">
        <f>H44/H33</f>
        <v>0.11869181773640372</v>
      </c>
      <c r="I45" s="31">
        <f>I44/I33</f>
        <v>0.10092575671876272</v>
      </c>
      <c r="J45" s="32">
        <f>J24</f>
        <v>0.11069431753907205</v>
      </c>
      <c r="K45" s="32">
        <f t="shared" ref="K45:M45" si="22">K24</f>
        <v>0.12046287835938138</v>
      </c>
      <c r="L45" s="32">
        <f t="shared" si="22"/>
        <v>0.13023143917969071</v>
      </c>
      <c r="M45" s="32">
        <f t="shared" si="22"/>
        <v>0.14000000000000004</v>
      </c>
      <c r="N45" s="32"/>
      <c r="U45" s="16"/>
      <c r="Y45" s="33"/>
      <c r="Z45" s="33"/>
      <c r="AA45" s="33"/>
    </row>
    <row r="46" spans="2:30" x14ac:dyDescent="0.35">
      <c r="I46" s="52"/>
    </row>
    <row r="47" spans="2:30" x14ac:dyDescent="0.35">
      <c r="B47" t="s">
        <v>58</v>
      </c>
      <c r="E47" s="24">
        <f>E26</f>
        <v>1132</v>
      </c>
      <c r="F47" s="24">
        <f>F26</f>
        <v>1297</v>
      </c>
      <c r="G47" s="24">
        <f>G26</f>
        <v>1442</v>
      </c>
      <c r="H47" s="24">
        <f>H26</f>
        <v>1538</v>
      </c>
      <c r="I47" s="24">
        <f>858*2</f>
        <v>1716</v>
      </c>
      <c r="J47" s="24">
        <f ca="1">J26</f>
        <v>1882.7161883636277</v>
      </c>
      <c r="K47" s="24">
        <f t="shared" ref="K47:M47" ca="1" si="23">K26</f>
        <v>1757.2916988695911</v>
      </c>
      <c r="L47" s="24">
        <f t="shared" ca="1" si="23"/>
        <v>1644.5903083408173</v>
      </c>
      <c r="M47" s="24">
        <f t="shared" ca="1" si="23"/>
        <v>1529.0185738468122</v>
      </c>
      <c r="N47" s="24"/>
      <c r="U47" s="16"/>
    </row>
    <row r="48" spans="2:30" x14ac:dyDescent="0.35">
      <c r="B48" s="21" t="s">
        <v>54</v>
      </c>
      <c r="E48" s="31">
        <f>E47/E33</f>
        <v>0.12577777777777777</v>
      </c>
      <c r="F48" s="31">
        <f>F47/F33</f>
        <v>0.14427141268075638</v>
      </c>
      <c r="G48" s="31">
        <f>G47/G33</f>
        <v>0.14460489370236662</v>
      </c>
      <c r="H48" s="31">
        <f>H47/H33</f>
        <v>0.18838804507594317</v>
      </c>
      <c r="I48" s="53">
        <f>I47/I33</f>
        <v>0.2111220472440945</v>
      </c>
      <c r="J48" s="32">
        <f>J27</f>
        <v>0.19584153543307087</v>
      </c>
      <c r="K48" s="32">
        <f t="shared" ref="K48:M48" si="24">K27</f>
        <v>0.18056102362204723</v>
      </c>
      <c r="L48" s="32">
        <f t="shared" si="24"/>
        <v>0.1652805118110236</v>
      </c>
      <c r="M48" s="32">
        <f t="shared" si="24"/>
        <v>0.14999999999999997</v>
      </c>
      <c r="N48" s="32"/>
      <c r="U48" s="16"/>
      <c r="Y48" s="35"/>
      <c r="Z48" s="35"/>
      <c r="AA48" s="35"/>
      <c r="AB48" s="35"/>
      <c r="AC48" s="35"/>
      <c r="AD48" s="35"/>
    </row>
    <row r="49" spans="1:27" x14ac:dyDescent="0.35">
      <c r="I49" s="52"/>
    </row>
    <row r="50" spans="1:27" x14ac:dyDescent="0.35">
      <c r="B50" t="s">
        <v>59</v>
      </c>
      <c r="E50" s="39">
        <f t="shared" ref="E50:H50" si="25">E29</f>
        <v>0</v>
      </c>
      <c r="F50" s="39">
        <f t="shared" si="25"/>
        <v>-708</v>
      </c>
      <c r="G50" s="39">
        <f t="shared" si="25"/>
        <v>-1901</v>
      </c>
      <c r="H50" s="39">
        <f t="shared" si="25"/>
        <v>-323</v>
      </c>
      <c r="I50" s="142">
        <f>I29</f>
        <v>-2.5002449779519793</v>
      </c>
      <c r="J50" s="143">
        <f ca="1">J29</f>
        <v>103.16755689358956</v>
      </c>
      <c r="K50" s="143">
        <f ca="1">K29</f>
        <v>8.2598709094936567</v>
      </c>
      <c r="L50" s="143">
        <f ca="1">L29</f>
        <v>15.133429181736346</v>
      </c>
      <c r="M50" s="143">
        <f ca="1">M29</f>
        <v>16.887723262724762</v>
      </c>
      <c r="N50" s="40"/>
      <c r="U50" s="16"/>
      <c r="Y50" s="35"/>
      <c r="Z50" s="35"/>
      <c r="AA50" s="35"/>
    </row>
    <row r="51" spans="1:27" x14ac:dyDescent="0.35">
      <c r="B51" s="21" t="s">
        <v>54</v>
      </c>
      <c r="E51" s="47">
        <f>E50/E33</f>
        <v>0</v>
      </c>
      <c r="F51" s="47">
        <f>F50/F33</f>
        <v>-7.8754171301446046E-2</v>
      </c>
      <c r="G51" s="47">
        <f>G50/G33</f>
        <v>-0.19063377456879263</v>
      </c>
      <c r="H51" s="47">
        <f>H50/H33</f>
        <v>-3.9563939245467909E-2</v>
      </c>
      <c r="I51" s="47">
        <f>I50/I33</f>
        <v>-3.0760888016141479E-4</v>
      </c>
      <c r="J51" s="47">
        <f ca="1">J30</f>
        <v>1.0731565848212157E-2</v>
      </c>
      <c r="K51" s="47">
        <f ca="1">K50/K33</f>
        <v>8.4869845305905744E-4</v>
      </c>
      <c r="L51" s="47">
        <f ca="1">L50/L33</f>
        <v>1.5209021407506151E-3</v>
      </c>
      <c r="M51" s="47">
        <f t="shared" ref="M51" ca="1" si="26">M50/M33</f>
        <v>1.6567218559259329E-3</v>
      </c>
      <c r="N51" s="47"/>
    </row>
    <row r="52" spans="1:27" x14ac:dyDescent="0.35">
      <c r="I52" s="55"/>
    </row>
    <row r="53" spans="1:27" x14ac:dyDescent="0.35">
      <c r="B53" s="59" t="s">
        <v>62</v>
      </c>
      <c r="C53" s="60"/>
      <c r="D53" s="60"/>
      <c r="E53" s="60"/>
      <c r="F53" s="60"/>
      <c r="G53" s="60"/>
      <c r="H53" s="60"/>
      <c r="I53" s="61">
        <f>I42+I44-I47-I50</f>
        <v>733.39298757575011</v>
      </c>
      <c r="J53" s="61">
        <f ca="1">J42+J44-J47-J50</f>
        <v>725.53159918349024</v>
      </c>
      <c r="K53" s="61">
        <f ca="1">K42+K44-K47-K50</f>
        <v>992.95092444985085</v>
      </c>
      <c r="L53" s="61">
        <f ca="1">L42+L44-L47-L50</f>
        <v>1204.9217831714654</v>
      </c>
      <c r="M53" s="61">
        <f ca="1">M42+M44-M47-M50</f>
        <v>1424.7866313191703</v>
      </c>
      <c r="P53" s="69"/>
    </row>
    <row r="54" spans="1:27" x14ac:dyDescent="0.35">
      <c r="B54" s="59" t="s">
        <v>63</v>
      </c>
      <c r="C54" s="60"/>
      <c r="D54" s="60"/>
      <c r="E54" s="60"/>
      <c r="F54" s="60"/>
      <c r="G54" s="60"/>
      <c r="H54" s="60"/>
      <c r="I54" s="61">
        <f>I53/(1+wacc)^I31</f>
        <v>642.38555044840791</v>
      </c>
      <c r="J54" s="61">
        <f ca="1">J53/(1+wacc)^J31</f>
        <v>556.63992512928201</v>
      </c>
      <c r="K54" s="61">
        <f ca="1">K53/(1+wacc)^K31</f>
        <v>667.27494144323396</v>
      </c>
      <c r="L54" s="61">
        <f ca="1">L53/(1+wacc)^L31</f>
        <v>709.24273792622796</v>
      </c>
      <c r="M54" s="61">
        <f ca="1">M53/(1+wacc)^M31</f>
        <v>734.58978318050561</v>
      </c>
    </row>
    <row r="55" spans="1:27" x14ac:dyDescent="0.35">
      <c r="J55" s="41"/>
    </row>
    <row r="56" spans="1:27" x14ac:dyDescent="0.35">
      <c r="A56" t="s">
        <v>46</v>
      </c>
      <c r="B56" t="s">
        <v>74</v>
      </c>
      <c r="J56" s="41"/>
      <c r="M56" s="40">
        <f ca="1">(M53*(1+tgr))/(wacc-tgr)</f>
        <v>13141.545599112131</v>
      </c>
    </row>
    <row r="57" spans="1:27" x14ac:dyDescent="0.35">
      <c r="B57" s="10" t="s">
        <v>75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56">
        <f ca="1">M56/(1+wacc)^M31</f>
        <v>6775.5023244220547</v>
      </c>
    </row>
    <row r="58" spans="1:27" x14ac:dyDescent="0.35">
      <c r="B58" s="28" t="s">
        <v>193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58">
        <f ca="1">SUM(I54:M54,M57)*1000</f>
        <v>10085635.262549713</v>
      </c>
      <c r="P58" t="s">
        <v>194</v>
      </c>
    </row>
    <row r="59" spans="1:27" x14ac:dyDescent="0.35">
      <c r="B59" s="42" t="s">
        <v>68</v>
      </c>
      <c r="M59" s="141">
        <v>630000</v>
      </c>
    </row>
    <row r="60" spans="1:27" x14ac:dyDescent="0.35">
      <c r="B60" s="57" t="s">
        <v>69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40">
        <v>3900000</v>
      </c>
    </row>
    <row r="61" spans="1:27" x14ac:dyDescent="0.35">
      <c r="B61" s="28" t="s">
        <v>70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58">
        <f ca="1">M58+M59-M60</f>
        <v>6815635.2625497133</v>
      </c>
    </row>
    <row r="62" spans="1:27" x14ac:dyDescent="0.35">
      <c r="B62" s="10" t="s">
        <v>71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68">
        <v>10598.178</v>
      </c>
    </row>
    <row r="63" spans="1:27" x14ac:dyDescent="0.35">
      <c r="A63" t="s">
        <v>46</v>
      </c>
      <c r="B63" s="28" t="s">
        <v>72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144">
        <f ca="1">M61/M62</f>
        <v>643.09499826759975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9695-58F3-4CD4-90DA-B503E392CA39}">
  <dimension ref="A2:J22"/>
  <sheetViews>
    <sheetView showGridLines="0" zoomScale="92" zoomScaleNormal="150" workbookViewId="0">
      <selection activeCell="E15" sqref="E15"/>
    </sheetView>
  </sheetViews>
  <sheetFormatPr baseColWidth="10" defaultColWidth="9.54296875" defaultRowHeight="14.5" outlineLevelCol="1" x14ac:dyDescent="0.35"/>
  <cols>
    <col min="1" max="1" width="3.54296875" customWidth="1"/>
    <col min="5" max="10" width="9.54296875" customWidth="1" outlineLevel="1"/>
    <col min="11" max="18" width="9.54296875" customWidth="1"/>
    <col min="22" max="26" width="10.453125" bestFit="1" customWidth="1"/>
    <col min="27" max="27" width="12" bestFit="1" customWidth="1"/>
    <col min="30" max="30" width="10.453125" bestFit="1" customWidth="1"/>
  </cols>
  <sheetData>
    <row r="2" spans="1:9" s="10" customFormat="1" ht="21" x14ac:dyDescent="0.5">
      <c r="B2" s="11" t="s">
        <v>64</v>
      </c>
    </row>
    <row r="4" spans="1:9" x14ac:dyDescent="0.35">
      <c r="A4" t="s">
        <v>46</v>
      </c>
      <c r="B4" s="13" t="s">
        <v>64</v>
      </c>
      <c r="C4" s="12"/>
      <c r="D4" s="12"/>
      <c r="E4" s="12"/>
      <c r="F4" s="12"/>
      <c r="G4" s="12"/>
      <c r="H4" s="12"/>
      <c r="I4" s="12"/>
    </row>
    <row r="5" spans="1:9" x14ac:dyDescent="0.35">
      <c r="B5" s="28" t="s">
        <v>87</v>
      </c>
    </row>
    <row r="6" spans="1:9" x14ac:dyDescent="0.35">
      <c r="B6" s="28"/>
    </row>
    <row r="8" spans="1:9" x14ac:dyDescent="0.35">
      <c r="B8" t="s">
        <v>77</v>
      </c>
      <c r="D8" s="124">
        <v>4.68</v>
      </c>
      <c r="E8" t="s">
        <v>142</v>
      </c>
    </row>
    <row r="9" spans="1:9" x14ac:dyDescent="0.35">
      <c r="B9" t="s">
        <v>78</v>
      </c>
      <c r="D9" s="125">
        <f>D8/D20</f>
        <v>0.34210526315789475</v>
      </c>
    </row>
    <row r="10" spans="1:9" x14ac:dyDescent="0.35">
      <c r="B10" t="s">
        <v>79</v>
      </c>
      <c r="D10" s="29">
        <v>0.05</v>
      </c>
    </row>
    <row r="11" spans="1:9" x14ac:dyDescent="0.35">
      <c r="B11" t="s">
        <v>80</v>
      </c>
      <c r="D11" s="29">
        <v>0.21</v>
      </c>
    </row>
    <row r="12" spans="1:9" x14ac:dyDescent="0.35">
      <c r="D12" s="110"/>
    </row>
    <row r="13" spans="1:9" x14ac:dyDescent="0.35">
      <c r="B13" t="s">
        <v>70</v>
      </c>
      <c r="D13" s="124">
        <v>9</v>
      </c>
      <c r="E13" t="s">
        <v>142</v>
      </c>
    </row>
    <row r="14" spans="1:9" x14ac:dyDescent="0.35">
      <c r="B14" t="s">
        <v>81</v>
      </c>
      <c r="D14" s="126">
        <f>D13/D20</f>
        <v>0.65789473684210531</v>
      </c>
    </row>
    <row r="15" spans="1:9" x14ac:dyDescent="0.35">
      <c r="B15" t="s">
        <v>82</v>
      </c>
      <c r="D15" s="125">
        <f>D16+D17*D18+D19</f>
        <v>0.1948</v>
      </c>
      <c r="H15" s="111"/>
    </row>
    <row r="16" spans="1:9" x14ac:dyDescent="0.35">
      <c r="B16" t="s">
        <v>83</v>
      </c>
      <c r="D16" s="29">
        <f>CAPM!C4</f>
        <v>0.16</v>
      </c>
      <c r="F16" s="111"/>
    </row>
    <row r="17" spans="1:5" x14ac:dyDescent="0.35">
      <c r="B17" t="s">
        <v>84</v>
      </c>
      <c r="D17" s="127">
        <f>CAPM!C5</f>
        <v>0.15</v>
      </c>
    </row>
    <row r="18" spans="1:5" x14ac:dyDescent="0.35">
      <c r="B18" t="s">
        <v>85</v>
      </c>
      <c r="D18" s="29">
        <f>CAPM!C6</f>
        <v>0.04</v>
      </c>
    </row>
    <row r="19" spans="1:5" x14ac:dyDescent="0.35">
      <c r="B19" t="s">
        <v>153</v>
      </c>
      <c r="D19" s="29">
        <f>CAPM!C7</f>
        <v>2.8799999999999999E-2</v>
      </c>
    </row>
    <row r="20" spans="1:5" x14ac:dyDescent="0.35">
      <c r="B20" t="s">
        <v>86</v>
      </c>
      <c r="D20" s="122">
        <f>D8+D13</f>
        <v>13.68</v>
      </c>
      <c r="E20" t="s">
        <v>142</v>
      </c>
    </row>
    <row r="22" spans="1:5" x14ac:dyDescent="0.35">
      <c r="A22" t="s">
        <v>46</v>
      </c>
      <c r="B22" s="63" t="s">
        <v>64</v>
      </c>
      <c r="C22" s="64"/>
      <c r="D22" s="65">
        <f>(D9*D10*(1-D11))+(D14*D15)</f>
        <v>0.14167105263157895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296BF-FA4A-45CD-95A1-179EF0097B24}">
  <dimension ref="B2:I9"/>
  <sheetViews>
    <sheetView zoomScale="81" workbookViewId="0">
      <selection activeCell="C6" sqref="C6"/>
    </sheetView>
  </sheetViews>
  <sheetFormatPr baseColWidth="10" defaultRowHeight="14.5" x14ac:dyDescent="0.35"/>
  <cols>
    <col min="2" max="2" width="20.54296875" customWidth="1"/>
    <col min="4" max="4" width="22.7265625" customWidth="1"/>
  </cols>
  <sheetData>
    <row r="2" spans="2:9" x14ac:dyDescent="0.35">
      <c r="B2" s="115" t="s">
        <v>151</v>
      </c>
      <c r="C2" s="114"/>
      <c r="D2" s="114"/>
      <c r="E2" s="117" t="s">
        <v>150</v>
      </c>
      <c r="F2" s="114"/>
      <c r="G2" s="116"/>
      <c r="H2" s="116"/>
      <c r="I2" s="28" t="s">
        <v>156</v>
      </c>
    </row>
    <row r="4" spans="2:9" x14ac:dyDescent="0.35">
      <c r="B4" s="120" t="s">
        <v>152</v>
      </c>
      <c r="C4" s="104">
        <v>0.16</v>
      </c>
      <c r="D4" t="s">
        <v>155</v>
      </c>
    </row>
    <row r="5" spans="2:9" x14ac:dyDescent="0.35">
      <c r="B5" s="120" t="s">
        <v>84</v>
      </c>
      <c r="C5">
        <v>0.15</v>
      </c>
    </row>
    <row r="6" spans="2:9" x14ac:dyDescent="0.35">
      <c r="B6" s="120" t="s">
        <v>85</v>
      </c>
      <c r="C6" s="104">
        <v>0.04</v>
      </c>
      <c r="D6" t="s">
        <v>157</v>
      </c>
    </row>
    <row r="7" spans="2:9" x14ac:dyDescent="0.35">
      <c r="B7" s="120" t="s">
        <v>153</v>
      </c>
      <c r="C7" s="104">
        <v>2.8799999999999999E-2</v>
      </c>
      <c r="D7" t="s">
        <v>160</v>
      </c>
    </row>
    <row r="9" spans="2:9" x14ac:dyDescent="0.35">
      <c r="B9" s="119" t="s">
        <v>154</v>
      </c>
      <c r="C9" s="139">
        <f>C4+C5*C6+C7</f>
        <v>0.1948</v>
      </c>
      <c r="D9" s="1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AA37-B9BC-4CF7-938C-4E2A583E5CB4}">
  <sheetPr>
    <outlinePr summaryBelow="0" summaryRight="0"/>
  </sheetPr>
  <dimension ref="A1:Q39"/>
  <sheetViews>
    <sheetView zoomScale="103" workbookViewId="0">
      <selection activeCell="K8" sqref="K8"/>
    </sheetView>
  </sheetViews>
  <sheetFormatPr baseColWidth="10" defaultColWidth="9.1796875" defaultRowHeight="15" customHeight="1" x14ac:dyDescent="0.25"/>
  <cols>
    <col min="1" max="1" width="34.1796875" style="2" customWidth="1"/>
    <col min="2" max="3" width="7.54296875" style="2" customWidth="1"/>
    <col min="4" max="10" width="7.81640625" style="2" customWidth="1"/>
    <col min="11" max="15" width="8.81640625" style="2" customWidth="1"/>
    <col min="16" max="16" width="9.453125" style="2" customWidth="1"/>
    <col min="17" max="16384" width="9.1796875" style="2"/>
  </cols>
  <sheetData>
    <row r="1" spans="1:16" ht="15" customHeight="1" x14ac:dyDescent="0.3">
      <c r="A1" s="1" t="s">
        <v>91</v>
      </c>
    </row>
    <row r="2" spans="1:16" ht="15" customHeight="1" x14ac:dyDescent="0.25">
      <c r="A2" s="2" t="s">
        <v>0</v>
      </c>
      <c r="L2" s="8"/>
      <c r="M2" s="8"/>
    </row>
    <row r="3" spans="1:16" ht="15" customHeight="1" x14ac:dyDescent="0.3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101</v>
      </c>
      <c r="L3" s="3" t="s">
        <v>102</v>
      </c>
      <c r="M3" s="3" t="s">
        <v>103</v>
      </c>
      <c r="N3" s="3" t="s">
        <v>104</v>
      </c>
      <c r="O3" s="3" t="s">
        <v>105</v>
      </c>
      <c r="P3" s="3" t="s">
        <v>106</v>
      </c>
    </row>
    <row r="4" spans="1:16" ht="15" customHeight="1" x14ac:dyDescent="0.3">
      <c r="A4" s="3"/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108</v>
      </c>
      <c r="L4" s="3" t="s">
        <v>109</v>
      </c>
      <c r="M4" s="3" t="s">
        <v>110</v>
      </c>
      <c r="N4" s="3" t="s">
        <v>111</v>
      </c>
      <c r="O4" s="3" t="s">
        <v>112</v>
      </c>
      <c r="P4" s="3" t="s">
        <v>113</v>
      </c>
    </row>
    <row r="5" spans="1:16" ht="15" customHeight="1" x14ac:dyDescent="0.35">
      <c r="A5" s="4" t="s">
        <v>19</v>
      </c>
      <c r="B5" s="5" t="s">
        <v>21</v>
      </c>
      <c r="C5" s="5" t="s">
        <v>21</v>
      </c>
      <c r="D5" s="5" t="s">
        <v>21</v>
      </c>
      <c r="E5" s="5" t="s">
        <v>21</v>
      </c>
      <c r="F5" s="5" t="s">
        <v>21</v>
      </c>
      <c r="G5" s="5" t="s">
        <v>21</v>
      </c>
      <c r="H5" s="5" t="s">
        <v>21</v>
      </c>
      <c r="I5" s="5" t="s">
        <v>21</v>
      </c>
      <c r="J5" s="5" t="s">
        <v>21</v>
      </c>
      <c r="K5" s="5">
        <v>9000</v>
      </c>
      <c r="L5" s="5">
        <v>8990</v>
      </c>
      <c r="M5" s="22">
        <v>9972</v>
      </c>
      <c r="N5" s="5">
        <v>8164</v>
      </c>
      <c r="O5" s="5" t="s">
        <v>21</v>
      </c>
      <c r="P5" s="5" t="s">
        <v>21</v>
      </c>
    </row>
    <row r="6" spans="1:16" ht="15" customHeight="1" x14ac:dyDescent="0.25">
      <c r="A6" s="6" t="s">
        <v>20</v>
      </c>
      <c r="B6" s="6" t="s">
        <v>21</v>
      </c>
      <c r="C6" s="6" t="s">
        <v>21</v>
      </c>
      <c r="D6" s="6" t="s">
        <v>21</v>
      </c>
      <c r="E6" s="6" t="s">
        <v>21</v>
      </c>
      <c r="F6" s="6" t="s">
        <v>21</v>
      </c>
      <c r="G6" s="6" t="s">
        <v>21</v>
      </c>
      <c r="H6" s="6" t="s">
        <v>21</v>
      </c>
      <c r="I6" s="6" t="s">
        <v>21</v>
      </c>
      <c r="J6" s="6" t="s">
        <v>21</v>
      </c>
      <c r="K6" s="6" t="s">
        <v>21</v>
      </c>
      <c r="L6" s="6" t="s">
        <v>21</v>
      </c>
      <c r="M6" s="6" t="s">
        <v>21</v>
      </c>
      <c r="N6" s="6" t="s">
        <v>21</v>
      </c>
      <c r="O6" s="6" t="s">
        <v>21</v>
      </c>
      <c r="P6" s="6" t="s">
        <v>21</v>
      </c>
    </row>
    <row r="7" spans="1:16" ht="15" customHeight="1" x14ac:dyDescent="0.25">
      <c r="A7" s="4" t="s">
        <v>22</v>
      </c>
      <c r="B7" s="4" t="s">
        <v>21</v>
      </c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21</v>
      </c>
      <c r="K7" s="4" t="s">
        <v>21</v>
      </c>
      <c r="L7" s="4" t="s">
        <v>21</v>
      </c>
      <c r="M7" s="4" t="s">
        <v>21</v>
      </c>
      <c r="N7" s="4" t="s">
        <v>21</v>
      </c>
      <c r="O7" s="4" t="s">
        <v>21</v>
      </c>
      <c r="P7" s="4" t="s">
        <v>21</v>
      </c>
    </row>
    <row r="8" spans="1:16" ht="15" customHeight="1" x14ac:dyDescent="0.25">
      <c r="A8" s="6" t="s">
        <v>195</v>
      </c>
      <c r="B8" s="6" t="s">
        <v>21</v>
      </c>
      <c r="C8" s="6" t="s">
        <v>21</v>
      </c>
      <c r="D8" s="6" t="s">
        <v>21</v>
      </c>
      <c r="E8" s="6" t="s">
        <v>21</v>
      </c>
      <c r="F8" s="6" t="s">
        <v>21</v>
      </c>
      <c r="G8" s="6" t="s">
        <v>21</v>
      </c>
      <c r="H8" s="6" t="s">
        <v>21</v>
      </c>
      <c r="I8" s="6" t="s">
        <v>21</v>
      </c>
      <c r="J8" s="6" t="s">
        <v>21</v>
      </c>
      <c r="K8" s="6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</row>
    <row r="9" spans="1:16" ht="15" customHeight="1" x14ac:dyDescent="0.25">
      <c r="A9" s="4" t="s">
        <v>23</v>
      </c>
      <c r="B9" s="5" t="s">
        <v>21</v>
      </c>
      <c r="C9" s="5" t="s">
        <v>21</v>
      </c>
      <c r="D9" s="5" t="s">
        <v>21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</row>
    <row r="10" spans="1:16" ht="15" customHeight="1" x14ac:dyDescent="0.25">
      <c r="A10" s="6" t="s">
        <v>24</v>
      </c>
      <c r="B10" s="6" t="s">
        <v>21</v>
      </c>
      <c r="C10" s="6" t="s">
        <v>21</v>
      </c>
      <c r="D10" s="6" t="s">
        <v>21</v>
      </c>
      <c r="E10" s="6" t="s">
        <v>21</v>
      </c>
      <c r="F10" s="6" t="s">
        <v>21</v>
      </c>
      <c r="G10" s="6" t="s">
        <v>21</v>
      </c>
      <c r="H10" s="6" t="s">
        <v>21</v>
      </c>
      <c r="I10" s="6" t="s">
        <v>21</v>
      </c>
      <c r="J10" s="6" t="s">
        <v>21</v>
      </c>
      <c r="K10" s="6" t="s">
        <v>21</v>
      </c>
      <c r="L10" s="6" t="s">
        <v>21</v>
      </c>
      <c r="M10" s="6" t="s">
        <v>21</v>
      </c>
      <c r="N10" s="6" t="s">
        <v>21</v>
      </c>
      <c r="O10" s="6" t="s">
        <v>21</v>
      </c>
      <c r="P10" s="6" t="s">
        <v>21</v>
      </c>
    </row>
    <row r="11" spans="1:16" ht="15" customHeight="1" x14ac:dyDescent="0.25">
      <c r="A11" s="4" t="s">
        <v>107</v>
      </c>
      <c r="B11" s="5" t="s">
        <v>21</v>
      </c>
      <c r="C11" s="5" t="s">
        <v>21</v>
      </c>
      <c r="D11" s="5" t="s">
        <v>21</v>
      </c>
      <c r="E11" s="5" t="s">
        <v>21</v>
      </c>
      <c r="F11" s="5" t="s">
        <v>21</v>
      </c>
      <c r="G11" s="5" t="s">
        <v>21</v>
      </c>
      <c r="H11" s="5" t="s">
        <v>21</v>
      </c>
      <c r="I11" s="5" t="s">
        <v>21</v>
      </c>
      <c r="J11" s="5" t="s">
        <v>21</v>
      </c>
      <c r="K11" s="5">
        <v>1132</v>
      </c>
      <c r="L11" s="5">
        <v>1297</v>
      </c>
      <c r="M11" s="5">
        <v>1442</v>
      </c>
      <c r="N11" s="5">
        <v>1538</v>
      </c>
      <c r="O11" s="5">
        <v>1716</v>
      </c>
      <c r="P11" s="5" t="s">
        <v>21</v>
      </c>
    </row>
    <row r="12" spans="1:16" ht="15" customHeight="1" x14ac:dyDescent="0.25">
      <c r="A12" s="6" t="s">
        <v>25</v>
      </c>
      <c r="B12" s="7" t="s">
        <v>21</v>
      </c>
      <c r="C12" s="7" t="s">
        <v>21</v>
      </c>
      <c r="D12" s="7" t="s">
        <v>21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21</v>
      </c>
      <c r="M12" s="7" t="s">
        <v>21</v>
      </c>
      <c r="N12" s="7" t="s">
        <v>21</v>
      </c>
      <c r="O12" s="7" t="s">
        <v>21</v>
      </c>
      <c r="P12" s="7" t="s">
        <v>21</v>
      </c>
    </row>
    <row r="13" spans="1:16" ht="15" customHeight="1" x14ac:dyDescent="0.25">
      <c r="A13" s="4" t="s">
        <v>26</v>
      </c>
      <c r="B13" s="5" t="s">
        <v>21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 ht="15" customHeight="1" x14ac:dyDescent="0.25">
      <c r="A14" s="6" t="s">
        <v>27</v>
      </c>
      <c r="B14" s="6" t="s">
        <v>21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 ht="15" customHeight="1" x14ac:dyDescent="0.25">
      <c r="A15" s="4" t="s">
        <v>28</v>
      </c>
      <c r="B15" s="5" t="s">
        <v>21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>
        <v>2551</v>
      </c>
      <c r="L15" s="5">
        <v>3005</v>
      </c>
      <c r="M15" s="5">
        <v>3029</v>
      </c>
      <c r="N15" s="5">
        <v>2173</v>
      </c>
      <c r="O15" s="5">
        <f>726*4</f>
        <v>2904</v>
      </c>
      <c r="P15" s="5" t="s">
        <v>21</v>
      </c>
    </row>
    <row r="16" spans="1:16" ht="15" customHeight="1" x14ac:dyDescent="0.25">
      <c r="A16" s="6" t="s">
        <v>29</v>
      </c>
      <c r="B16" s="7" t="s">
        <v>21</v>
      </c>
      <c r="C16" s="7" t="s">
        <v>21</v>
      </c>
      <c r="D16" s="7" t="s">
        <v>21</v>
      </c>
      <c r="E16" s="7" t="s">
        <v>21</v>
      </c>
      <c r="F16" s="7" t="s">
        <v>21</v>
      </c>
      <c r="G16" s="7" t="s">
        <v>21</v>
      </c>
      <c r="H16" s="7" t="s">
        <v>21</v>
      </c>
      <c r="I16" s="7" t="s">
        <v>21</v>
      </c>
      <c r="J16" s="7" t="s">
        <v>21</v>
      </c>
      <c r="K16" s="7" t="s">
        <v>21</v>
      </c>
      <c r="L16" s="7" t="s">
        <v>21</v>
      </c>
      <c r="M16" s="7" t="s">
        <v>21</v>
      </c>
      <c r="N16" s="7" t="s">
        <v>21</v>
      </c>
      <c r="O16" s="7" t="s">
        <v>21</v>
      </c>
      <c r="P16" s="7" t="s">
        <v>21</v>
      </c>
    </row>
    <row r="17" spans="1:17" ht="15" customHeight="1" x14ac:dyDescent="0.25">
      <c r="A17" s="4" t="s">
        <v>30</v>
      </c>
      <c r="B17" s="5" t="s">
        <v>21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7" ht="15" customHeight="1" x14ac:dyDescent="0.25">
      <c r="A18" s="6" t="s">
        <v>31</v>
      </c>
      <c r="B18" s="7" t="s">
        <v>21</v>
      </c>
      <c r="C18" s="7" t="s">
        <v>21</v>
      </c>
      <c r="D18" s="7" t="s">
        <v>21</v>
      </c>
      <c r="E18" s="7" t="s">
        <v>21</v>
      </c>
      <c r="F18" s="7" t="s">
        <v>21</v>
      </c>
      <c r="G18" s="7" t="s">
        <v>21</v>
      </c>
      <c r="H18" s="7" t="s">
        <v>21</v>
      </c>
      <c r="I18" s="7" t="s">
        <v>21</v>
      </c>
      <c r="J18" s="7" t="s">
        <v>21</v>
      </c>
      <c r="K18" s="7">
        <v>1029</v>
      </c>
      <c r="L18" s="7">
        <v>769</v>
      </c>
      <c r="M18" s="7">
        <v>849</v>
      </c>
      <c r="N18" s="7">
        <v>969</v>
      </c>
      <c r="O18" s="7" t="s">
        <v>21</v>
      </c>
      <c r="P18" s="7" t="s">
        <v>21</v>
      </c>
    </row>
    <row r="19" spans="1:17" ht="15" customHeight="1" x14ac:dyDescent="0.25">
      <c r="A19" s="4" t="s">
        <v>32</v>
      </c>
      <c r="B19" s="5" t="s">
        <v>21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>
        <v>2189</v>
      </c>
      <c r="M19" s="5">
        <v>2129</v>
      </c>
      <c r="N19" s="5">
        <v>1087</v>
      </c>
      <c r="O19" s="5" t="s">
        <v>21</v>
      </c>
      <c r="P19" s="5" t="s">
        <v>21</v>
      </c>
    </row>
    <row r="20" spans="1:17" ht="15" customHeight="1" x14ac:dyDescent="0.25">
      <c r="A20" s="6" t="s">
        <v>33</v>
      </c>
      <c r="B20" s="6" t="s">
        <v>21</v>
      </c>
      <c r="C20" s="6" t="s">
        <v>21</v>
      </c>
      <c r="D20" s="6" t="s">
        <v>21</v>
      </c>
      <c r="E20" s="6" t="s">
        <v>21</v>
      </c>
      <c r="F20" s="6" t="s">
        <v>21</v>
      </c>
      <c r="G20" s="6" t="s">
        <v>21</v>
      </c>
      <c r="H20" s="6" t="s">
        <v>21</v>
      </c>
      <c r="I20" s="6" t="s">
        <v>21</v>
      </c>
      <c r="J20" s="6" t="s">
        <v>21</v>
      </c>
      <c r="K20" s="6" t="s">
        <v>21</v>
      </c>
      <c r="L20" s="6"/>
      <c r="M20" s="6" t="s">
        <v>21</v>
      </c>
      <c r="N20" s="6" t="s">
        <v>21</v>
      </c>
      <c r="O20" s="6" t="s">
        <v>21</v>
      </c>
      <c r="P20" s="6"/>
    </row>
    <row r="21" spans="1:17" ht="15" customHeight="1" x14ac:dyDescent="0.25">
      <c r="A21" s="4" t="s">
        <v>34</v>
      </c>
      <c r="B21" s="5" t="s">
        <v>21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>
        <v>2129</v>
      </c>
      <c r="M21" s="5">
        <v>2180</v>
      </c>
      <c r="N21" s="5">
        <v>1087</v>
      </c>
      <c r="O21" s="5" t="s">
        <v>21</v>
      </c>
      <c r="P21" s="5" t="s">
        <v>21</v>
      </c>
    </row>
    <row r="22" spans="1:17" ht="15" customHeight="1" x14ac:dyDescent="0.25">
      <c r="A22" s="6" t="s">
        <v>35</v>
      </c>
      <c r="B22" s="7" t="s">
        <v>21</v>
      </c>
      <c r="C22" s="7" t="s">
        <v>21</v>
      </c>
      <c r="D22" s="7" t="s">
        <v>21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7" t="s">
        <v>21</v>
      </c>
      <c r="L22" s="7">
        <v>2129</v>
      </c>
      <c r="M22" s="7">
        <v>2180</v>
      </c>
      <c r="N22" s="7" t="s">
        <v>21</v>
      </c>
      <c r="O22" s="7" t="s">
        <v>21</v>
      </c>
      <c r="P22" s="7" t="s">
        <v>21</v>
      </c>
    </row>
    <row r="23" spans="1:17" ht="15" customHeight="1" x14ac:dyDescent="0.25">
      <c r="A23" s="4" t="s">
        <v>36</v>
      </c>
      <c r="B23" s="5" t="s">
        <v>21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7" ht="15" customHeight="1" x14ac:dyDescent="0.25">
      <c r="A24" s="6" t="s">
        <v>37</v>
      </c>
      <c r="B24" s="7" t="s">
        <v>21</v>
      </c>
      <c r="C24" s="7" t="s">
        <v>21</v>
      </c>
      <c r="D24" s="7" t="s">
        <v>21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 t="s">
        <v>21</v>
      </c>
      <c r="L24" s="7">
        <v>1957</v>
      </c>
      <c r="M24" s="7">
        <v>1893</v>
      </c>
      <c r="N24" s="7">
        <v>819</v>
      </c>
      <c r="O24" s="7" t="s">
        <v>21</v>
      </c>
      <c r="P24" s="7" t="s">
        <v>21</v>
      </c>
    </row>
    <row r="25" spans="1:17" ht="15" customHeight="1" x14ac:dyDescent="0.25">
      <c r="A25" s="4" t="s">
        <v>38</v>
      </c>
      <c r="B25" s="5" t="s">
        <v>21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 t="s">
        <v>21</v>
      </c>
      <c r="J25" s="5" t="s">
        <v>21</v>
      </c>
      <c r="K25" s="5" t="s">
        <v>21</v>
      </c>
      <c r="L25" s="5" t="s">
        <v>21</v>
      </c>
      <c r="M25" s="5" t="s">
        <v>21</v>
      </c>
      <c r="N25" s="5" t="s">
        <v>21</v>
      </c>
      <c r="O25" s="5" t="s">
        <v>21</v>
      </c>
      <c r="P25" s="5" t="s">
        <v>21</v>
      </c>
    </row>
    <row r="26" spans="1:17" ht="15" customHeight="1" x14ac:dyDescent="0.25">
      <c r="A26" s="6" t="s">
        <v>39</v>
      </c>
      <c r="B26" s="7" t="s">
        <v>21</v>
      </c>
      <c r="C26" s="7" t="s">
        <v>21</v>
      </c>
      <c r="D26" s="7" t="s">
        <v>21</v>
      </c>
      <c r="E26" s="7" t="s">
        <v>21</v>
      </c>
      <c r="F26" s="7" t="s">
        <v>21</v>
      </c>
      <c r="G26" s="7" t="s">
        <v>21</v>
      </c>
      <c r="H26" s="7" t="s">
        <v>21</v>
      </c>
      <c r="I26" s="7" t="s">
        <v>21</v>
      </c>
      <c r="J26" s="7" t="s">
        <v>21</v>
      </c>
      <c r="K26" s="7" t="s">
        <v>21</v>
      </c>
      <c r="L26" s="7">
        <v>1957</v>
      </c>
      <c r="M26" s="7">
        <v>1893</v>
      </c>
      <c r="N26" s="7">
        <v>819</v>
      </c>
      <c r="O26" s="7" t="s">
        <v>21</v>
      </c>
      <c r="P26" s="7" t="s">
        <v>21</v>
      </c>
    </row>
    <row r="27" spans="1:17" ht="15" customHeight="1" x14ac:dyDescent="0.25">
      <c r="A27" s="4" t="s">
        <v>40</v>
      </c>
      <c r="B27" s="5" t="s">
        <v>21</v>
      </c>
      <c r="C27" s="5" t="s">
        <v>21</v>
      </c>
      <c r="D27" s="5" t="s">
        <v>21</v>
      </c>
      <c r="E27" s="5" t="s">
        <v>21</v>
      </c>
      <c r="F27" s="5" t="s">
        <v>21</v>
      </c>
      <c r="G27" s="5" t="s">
        <v>21</v>
      </c>
      <c r="H27" s="5" t="s">
        <v>21</v>
      </c>
      <c r="I27" s="5" t="s">
        <v>21</v>
      </c>
      <c r="J27" s="5" t="s">
        <v>21</v>
      </c>
      <c r="K27" s="5" t="s">
        <v>21</v>
      </c>
      <c r="L27" s="5">
        <v>438</v>
      </c>
      <c r="M27" s="5">
        <v>552</v>
      </c>
      <c r="N27" s="5">
        <v>275</v>
      </c>
      <c r="O27" s="5" t="s">
        <v>21</v>
      </c>
      <c r="P27" s="5" t="s">
        <v>21</v>
      </c>
    </row>
    <row r="28" spans="1:17" ht="15" customHeight="1" x14ac:dyDescent="0.25">
      <c r="A28" s="6" t="s">
        <v>41</v>
      </c>
      <c r="B28" s="7" t="s">
        <v>21</v>
      </c>
      <c r="C28" s="7" t="s">
        <v>21</v>
      </c>
      <c r="D28" s="7" t="s">
        <v>21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7">
        <v>813</v>
      </c>
      <c r="L28" s="7">
        <v>1529</v>
      </c>
      <c r="M28" s="7">
        <v>1341</v>
      </c>
      <c r="N28" s="7">
        <v>293</v>
      </c>
      <c r="O28" s="7" t="s">
        <v>21</v>
      </c>
      <c r="P28" s="7" t="s">
        <v>21</v>
      </c>
    </row>
    <row r="29" spans="1:17" ht="15" customHeight="1" x14ac:dyDescent="0.25">
      <c r="A29" s="4" t="s">
        <v>42</v>
      </c>
      <c r="B29" s="5" t="s">
        <v>21</v>
      </c>
      <c r="C29" s="5" t="s">
        <v>21</v>
      </c>
      <c r="D29" s="5" t="s">
        <v>21</v>
      </c>
      <c r="E29" s="5" t="s">
        <v>21</v>
      </c>
      <c r="F29" s="5" t="s">
        <v>21</v>
      </c>
      <c r="G29" s="5" t="s">
        <v>21</v>
      </c>
      <c r="H29" s="5" t="s">
        <v>21</v>
      </c>
      <c r="I29" s="5" t="s">
        <v>21</v>
      </c>
      <c r="J29" s="5" t="s">
        <v>21</v>
      </c>
      <c r="K29" s="5" t="s">
        <v>21</v>
      </c>
      <c r="L29" s="5">
        <v>1529</v>
      </c>
      <c r="M29" s="5">
        <v>1341</v>
      </c>
      <c r="N29" s="5" t="s">
        <v>21</v>
      </c>
      <c r="O29" s="5" t="s">
        <v>21</v>
      </c>
      <c r="P29" s="5" t="s">
        <v>21</v>
      </c>
    </row>
    <row r="30" spans="1:17" ht="15" customHeight="1" x14ac:dyDescent="0.25">
      <c r="A30" s="6" t="s">
        <v>43</v>
      </c>
      <c r="B30" s="7" t="s">
        <v>21</v>
      </c>
      <c r="C30" s="7" t="s">
        <v>21</v>
      </c>
      <c r="D30" s="7" t="s">
        <v>21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7" t="s">
        <v>21</v>
      </c>
      <c r="L30" s="5">
        <v>1529</v>
      </c>
      <c r="M30" s="5">
        <v>1341</v>
      </c>
      <c r="N30" s="7" t="s">
        <v>21</v>
      </c>
      <c r="O30" s="7" t="s">
        <v>21</v>
      </c>
      <c r="P30" s="7" t="s">
        <v>21</v>
      </c>
      <c r="Q30" s="7" t="s">
        <v>21</v>
      </c>
    </row>
    <row r="31" spans="1:17" ht="15" customHeight="1" x14ac:dyDescent="0.3">
      <c r="A31" s="74" t="s">
        <v>92</v>
      </c>
      <c r="B31" s="7" t="s">
        <v>21</v>
      </c>
      <c r="C31" s="7" t="s">
        <v>21</v>
      </c>
      <c r="D31" s="7" t="s">
        <v>21</v>
      </c>
      <c r="E31" s="7" t="s">
        <v>21</v>
      </c>
      <c r="F31" s="7" t="s">
        <v>21</v>
      </c>
      <c r="G31" s="7" t="s">
        <v>21</v>
      </c>
      <c r="H31" s="7" t="s">
        <v>21</v>
      </c>
      <c r="I31" s="7" t="s">
        <v>21</v>
      </c>
      <c r="J31" s="7" t="s">
        <v>21</v>
      </c>
      <c r="K31" s="7" t="s">
        <v>21</v>
      </c>
      <c r="L31" s="7"/>
      <c r="M31" s="7" t="s">
        <v>21</v>
      </c>
      <c r="N31" s="7" t="s">
        <v>21</v>
      </c>
      <c r="O31" s="7" t="s">
        <v>21</v>
      </c>
      <c r="P31" s="7" t="s">
        <v>21</v>
      </c>
    </row>
    <row r="32" spans="1:17" ht="15" customHeight="1" x14ac:dyDescent="0.25">
      <c r="A32" s="6" t="s">
        <v>93</v>
      </c>
      <c r="B32" s="7" t="s">
        <v>21</v>
      </c>
      <c r="C32" s="7" t="s">
        <v>21</v>
      </c>
      <c r="D32" s="7" t="s">
        <v>21</v>
      </c>
      <c r="E32" s="7" t="s">
        <v>21</v>
      </c>
      <c r="F32" s="7" t="s">
        <v>21</v>
      </c>
      <c r="G32" s="7" t="s">
        <v>21</v>
      </c>
      <c r="H32" s="7" t="s">
        <v>21</v>
      </c>
      <c r="I32" s="7" t="s">
        <v>21</v>
      </c>
      <c r="J32" s="7" t="s">
        <v>21</v>
      </c>
      <c r="K32" s="7" t="s">
        <v>21</v>
      </c>
      <c r="L32" s="76">
        <f>L15/L5</f>
        <v>0.3342602892102336</v>
      </c>
      <c r="M32" s="76">
        <f>M15/M5</f>
        <v>0.30375050140393101</v>
      </c>
      <c r="N32" s="76">
        <f>N15/N5</f>
        <v>0.26616854483096519</v>
      </c>
      <c r="O32" s="7" t="s">
        <v>21</v>
      </c>
      <c r="P32" s="7" t="s">
        <v>21</v>
      </c>
    </row>
    <row r="33" spans="1:16" ht="15" customHeight="1" x14ac:dyDescent="0.25">
      <c r="A33" s="73" t="s">
        <v>94</v>
      </c>
      <c r="B33" s="7" t="s">
        <v>21</v>
      </c>
      <c r="C33" s="7" t="s">
        <v>21</v>
      </c>
      <c r="D33" s="7" t="s">
        <v>21</v>
      </c>
      <c r="E33" s="7" t="s">
        <v>21</v>
      </c>
      <c r="F33" s="7" t="s">
        <v>21</v>
      </c>
      <c r="G33" s="7" t="s">
        <v>21</v>
      </c>
      <c r="H33" s="7" t="s">
        <v>21</v>
      </c>
      <c r="I33" s="7" t="s">
        <v>21</v>
      </c>
      <c r="J33" s="7" t="s">
        <v>21</v>
      </c>
      <c r="K33" s="7" t="s">
        <v>21</v>
      </c>
      <c r="L33" s="76">
        <f>L21/L5</f>
        <v>0.23681868743047832</v>
      </c>
      <c r="M33" s="76">
        <f>M21/M5</f>
        <v>0.21861211391897312</v>
      </c>
      <c r="N33" s="76">
        <f>N21/N5</f>
        <v>0.1331455169034787</v>
      </c>
      <c r="O33" s="7" t="s">
        <v>21</v>
      </c>
      <c r="P33" s="7" t="s">
        <v>21</v>
      </c>
    </row>
    <row r="34" spans="1:16" ht="15" customHeight="1" x14ac:dyDescent="0.25">
      <c r="A34" s="6" t="s">
        <v>95</v>
      </c>
      <c r="B34" s="7" t="s">
        <v>21</v>
      </c>
      <c r="C34" s="7" t="s">
        <v>21</v>
      </c>
      <c r="D34" s="7" t="s">
        <v>21</v>
      </c>
      <c r="E34" s="7" t="s">
        <v>21</v>
      </c>
      <c r="F34" s="7" t="s">
        <v>21</v>
      </c>
      <c r="G34" s="7" t="s">
        <v>21</v>
      </c>
      <c r="H34" s="7" t="s">
        <v>21</v>
      </c>
      <c r="I34" s="7" t="s">
        <v>21</v>
      </c>
      <c r="J34" s="7" t="s">
        <v>21</v>
      </c>
      <c r="K34" s="7" t="s">
        <v>21</v>
      </c>
      <c r="L34" s="76">
        <f>L28/L5</f>
        <v>0.17007786429365962</v>
      </c>
      <c r="M34" s="76">
        <f>M28/M5</f>
        <v>0.13447653429602888</v>
      </c>
      <c r="N34" s="76">
        <f>N28/N5</f>
        <v>3.5889269965703088E-2</v>
      </c>
      <c r="O34" s="7" t="s">
        <v>21</v>
      </c>
      <c r="P34" s="7" t="s">
        <v>21</v>
      </c>
    </row>
    <row r="35" spans="1:16" ht="15" customHeight="1" x14ac:dyDescent="0.25">
      <c r="A35" s="2" t="s">
        <v>96</v>
      </c>
      <c r="B35" s="7" t="s">
        <v>21</v>
      </c>
      <c r="C35" s="7" t="s">
        <v>21</v>
      </c>
      <c r="D35" s="7" t="s">
        <v>21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7" t="s">
        <v>21</v>
      </c>
      <c r="L35" s="7" t="s">
        <v>21</v>
      </c>
      <c r="M35" s="7" t="s">
        <v>21</v>
      </c>
      <c r="N35" s="7" t="s">
        <v>21</v>
      </c>
      <c r="O35" s="7" t="s">
        <v>21</v>
      </c>
      <c r="P35" s="7" t="s">
        <v>21</v>
      </c>
    </row>
    <row r="36" spans="1:16" ht="15" customHeight="1" x14ac:dyDescent="0.25">
      <c r="A36" s="75" t="s">
        <v>97</v>
      </c>
      <c r="B36" s="7" t="s">
        <v>21</v>
      </c>
      <c r="C36" s="7" t="s">
        <v>21</v>
      </c>
      <c r="D36" s="7" t="s">
        <v>21</v>
      </c>
      <c r="E36" s="7" t="s">
        <v>21</v>
      </c>
      <c r="F36" s="7" t="s">
        <v>21</v>
      </c>
      <c r="G36" s="7" t="s">
        <v>21</v>
      </c>
      <c r="H36" s="7" t="s">
        <v>21</v>
      </c>
      <c r="I36" s="7" t="s">
        <v>21</v>
      </c>
      <c r="J36" s="7" t="s">
        <v>21</v>
      </c>
      <c r="K36" s="7" t="s">
        <v>21</v>
      </c>
      <c r="L36" s="7" t="s">
        <v>21</v>
      </c>
      <c r="M36" s="7" t="s">
        <v>21</v>
      </c>
      <c r="N36" s="7" t="s">
        <v>21</v>
      </c>
      <c r="O36" s="7" t="s">
        <v>21</v>
      </c>
      <c r="P36" s="7" t="s">
        <v>21</v>
      </c>
    </row>
    <row r="37" spans="1:16" ht="15" customHeight="1" x14ac:dyDescent="0.25">
      <c r="A37" s="2" t="s">
        <v>98</v>
      </c>
      <c r="B37" s="7" t="s">
        <v>21</v>
      </c>
      <c r="C37" s="7" t="s">
        <v>21</v>
      </c>
      <c r="D37" s="7" t="s">
        <v>21</v>
      </c>
      <c r="E37" s="7" t="s">
        <v>21</v>
      </c>
      <c r="F37" s="7" t="s">
        <v>21</v>
      </c>
      <c r="G37" s="7" t="s">
        <v>21</v>
      </c>
      <c r="H37" s="7" t="s">
        <v>21</v>
      </c>
      <c r="I37" s="7" t="s">
        <v>21</v>
      </c>
      <c r="J37" s="7" t="s">
        <v>21</v>
      </c>
      <c r="K37" s="7" t="s">
        <v>21</v>
      </c>
      <c r="L37" s="76">
        <f>L27/L26</f>
        <v>0.22381195707715892</v>
      </c>
      <c r="M37" s="76">
        <f>M27/M26</f>
        <v>0.29160063391442154</v>
      </c>
      <c r="N37" s="76">
        <f>N27/N26</f>
        <v>0.33577533577533575</v>
      </c>
      <c r="O37" s="7" t="s">
        <v>21</v>
      </c>
      <c r="P37" s="7" t="s">
        <v>21</v>
      </c>
    </row>
    <row r="38" spans="1:16" ht="15" customHeight="1" x14ac:dyDescent="0.25">
      <c r="A38" s="75" t="s">
        <v>99</v>
      </c>
      <c r="B38" s="7" t="s">
        <v>21</v>
      </c>
      <c r="C38" s="7" t="s">
        <v>21</v>
      </c>
      <c r="D38" s="7" t="s">
        <v>21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7" t="s">
        <v>21</v>
      </c>
      <c r="L38" s="7" t="s">
        <v>21</v>
      </c>
      <c r="M38" s="7" t="s">
        <v>21</v>
      </c>
      <c r="N38" s="7" t="s">
        <v>21</v>
      </c>
      <c r="O38" s="7" t="s">
        <v>21</v>
      </c>
      <c r="P38" s="7" t="s">
        <v>21</v>
      </c>
    </row>
    <row r="39" spans="1:16" ht="15" customHeight="1" x14ac:dyDescent="0.25">
      <c r="A39" s="2" t="s">
        <v>100</v>
      </c>
      <c r="B39" s="7" t="s">
        <v>21</v>
      </c>
      <c r="C39" s="7" t="s">
        <v>21</v>
      </c>
      <c r="D39" s="7" t="s">
        <v>21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7" t="s">
        <v>21</v>
      </c>
      <c r="L39" s="76">
        <f>L18/L5</f>
        <v>8.5539488320355947E-2</v>
      </c>
      <c r="M39" s="76">
        <f>M18/M5</f>
        <v>8.5138387484957875E-2</v>
      </c>
      <c r="N39" s="76">
        <f>N18/N5</f>
        <v>0.11869181773640372</v>
      </c>
      <c r="O39" s="7" t="s">
        <v>21</v>
      </c>
      <c r="P39" s="7" t="s">
        <v>21</v>
      </c>
    </row>
  </sheetData>
  <phoneticPr fontId="25" type="noConversion"/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B2767-1736-4A14-8323-408DBBA51C13}">
  <sheetPr>
    <outlinePr summaryBelow="0" summaryRight="0"/>
  </sheetPr>
  <dimension ref="A1:T129"/>
  <sheetViews>
    <sheetView topLeftCell="A13" zoomScale="98" workbookViewId="0">
      <selection activeCell="D24" sqref="D24"/>
    </sheetView>
  </sheetViews>
  <sheetFormatPr baseColWidth="10" defaultColWidth="9.1796875" defaultRowHeight="15" customHeight="1" outlineLevelRow="4" x14ac:dyDescent="0.35"/>
  <cols>
    <col min="1" max="1" width="137.453125" style="2" customWidth="1"/>
    <col min="2" max="11" width="10.453125" style="2" customWidth="1"/>
    <col min="21" max="16384" width="9.1796875" style="2"/>
  </cols>
  <sheetData>
    <row r="1" spans="1:20" ht="15" customHeight="1" x14ac:dyDescent="0.3">
      <c r="A1" s="1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 x14ac:dyDescent="0.25">
      <c r="A2" s="79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2"/>
      <c r="M3" s="2"/>
      <c r="N3" s="2"/>
      <c r="O3" s="2"/>
      <c r="P3" s="2"/>
      <c r="Q3" s="2"/>
      <c r="R3" s="2"/>
      <c r="S3" s="2"/>
      <c r="T3" s="2"/>
    </row>
    <row r="4" spans="1:20" ht="15" customHeight="1" x14ac:dyDescent="0.45">
      <c r="A4" s="97" t="s">
        <v>115</v>
      </c>
      <c r="B4"/>
      <c r="C4"/>
      <c r="D4"/>
      <c r="L4" s="2"/>
      <c r="M4" s="2"/>
      <c r="N4" s="2"/>
      <c r="O4" s="2"/>
      <c r="P4" s="2"/>
      <c r="Q4" s="2"/>
      <c r="R4" s="2"/>
      <c r="S4" s="2"/>
      <c r="T4" s="2"/>
    </row>
    <row r="5" spans="1:20" ht="15" customHeight="1" x14ac:dyDescent="0.35">
      <c r="A5" s="98" t="s">
        <v>116</v>
      </c>
      <c r="B5"/>
      <c r="C5"/>
      <c r="D5"/>
      <c r="E5" s="81"/>
      <c r="F5" s="81"/>
      <c r="G5" s="81"/>
      <c r="H5" s="81"/>
      <c r="I5" s="81"/>
      <c r="J5" s="81"/>
      <c r="K5" s="81"/>
      <c r="L5" s="2"/>
      <c r="M5" s="2"/>
      <c r="N5" s="2"/>
      <c r="O5" s="2"/>
      <c r="P5" s="2"/>
      <c r="Q5" s="2"/>
      <c r="R5" s="2"/>
      <c r="S5" s="2"/>
      <c r="T5" s="2"/>
    </row>
    <row r="6" spans="1:20" ht="15" customHeight="1" x14ac:dyDescent="0.35">
      <c r="A6" s="128" t="s">
        <v>161</v>
      </c>
      <c r="B6"/>
      <c r="C6"/>
      <c r="D6"/>
      <c r="E6" s="81"/>
      <c r="F6" s="81"/>
      <c r="G6" s="81"/>
      <c r="H6" s="81"/>
      <c r="I6" s="81"/>
      <c r="J6" s="81"/>
      <c r="K6" s="81"/>
      <c r="L6" s="2"/>
      <c r="M6" s="2"/>
      <c r="N6" s="2"/>
      <c r="O6" s="2"/>
      <c r="P6" s="2"/>
      <c r="Q6" s="2"/>
      <c r="R6" s="2"/>
      <c r="S6" s="2"/>
      <c r="T6" s="2"/>
    </row>
    <row r="7" spans="1:20" ht="15" customHeight="1" x14ac:dyDescent="0.35">
      <c r="A7"/>
      <c r="B7"/>
      <c r="C7"/>
      <c r="D7"/>
      <c r="E7" s="81"/>
      <c r="F7" s="81"/>
      <c r="G7" s="81"/>
      <c r="H7" s="81"/>
      <c r="I7" s="81"/>
      <c r="J7" s="81"/>
      <c r="K7" s="81"/>
      <c r="L7" s="2"/>
      <c r="M7" s="2"/>
      <c r="N7" s="2"/>
      <c r="O7" s="2"/>
      <c r="P7" s="2"/>
      <c r="Q7" s="2"/>
      <c r="R7" s="2"/>
      <c r="S7" s="2"/>
      <c r="T7" s="2"/>
    </row>
    <row r="8" spans="1:20" ht="15" customHeight="1" x14ac:dyDescent="0.3">
      <c r="A8" s="99" t="s">
        <v>117</v>
      </c>
      <c r="B8" s="102">
        <v>2022</v>
      </c>
      <c r="C8" s="102">
        <v>2023</v>
      </c>
      <c r="D8" s="102">
        <v>2024</v>
      </c>
      <c r="E8" s="102">
        <v>2025</v>
      </c>
      <c r="F8" s="102" t="s">
        <v>141</v>
      </c>
      <c r="G8" s="102"/>
      <c r="H8" s="81"/>
      <c r="I8" s="81"/>
      <c r="J8" s="81"/>
      <c r="K8" s="81"/>
      <c r="L8" s="2"/>
      <c r="M8" s="2"/>
      <c r="N8" s="2"/>
      <c r="O8" s="2"/>
      <c r="P8" s="2"/>
      <c r="Q8" s="2"/>
      <c r="R8" s="2"/>
      <c r="S8" s="2"/>
      <c r="T8" s="2"/>
    </row>
    <row r="9" spans="1:20" ht="15" customHeight="1" x14ac:dyDescent="0.35">
      <c r="A9" s="100" t="s">
        <v>118</v>
      </c>
      <c r="B9" s="101" t="s">
        <v>140</v>
      </c>
      <c r="C9" s="101">
        <v>3839</v>
      </c>
      <c r="D9" s="101">
        <v>4283</v>
      </c>
      <c r="E9" s="101">
        <v>4199</v>
      </c>
      <c r="F9" s="101">
        <v>4004</v>
      </c>
      <c r="G9" s="4"/>
      <c r="H9" s="4"/>
      <c r="I9" s="4"/>
      <c r="J9" s="4"/>
      <c r="K9" s="4"/>
      <c r="L9" s="2"/>
      <c r="M9" s="2"/>
      <c r="N9" s="2"/>
      <c r="O9" s="2"/>
      <c r="P9" s="2"/>
      <c r="Q9" s="2"/>
      <c r="R9" s="2"/>
      <c r="S9" s="2"/>
      <c r="T9" s="2"/>
    </row>
    <row r="10" spans="1:20" ht="15" customHeight="1" x14ac:dyDescent="0.35">
      <c r="A10" s="100" t="s">
        <v>119</v>
      </c>
      <c r="B10" s="101" t="s">
        <v>140</v>
      </c>
      <c r="C10" s="101">
        <v>14948</v>
      </c>
      <c r="D10" s="101">
        <v>16399</v>
      </c>
      <c r="E10" s="101">
        <v>17361</v>
      </c>
      <c r="F10" s="101">
        <v>17652</v>
      </c>
      <c r="G10" s="83"/>
      <c r="H10" s="83"/>
      <c r="I10" s="83"/>
      <c r="J10" s="83"/>
      <c r="K10" s="83"/>
      <c r="L10" s="2"/>
      <c r="M10" s="2"/>
      <c r="N10" s="2"/>
      <c r="O10" s="2"/>
      <c r="P10" s="2"/>
      <c r="Q10" s="2"/>
      <c r="R10" s="2"/>
      <c r="S10" s="2"/>
      <c r="T10" s="2"/>
    </row>
    <row r="11" spans="1:20" ht="15" customHeight="1" outlineLevel="1" x14ac:dyDescent="0.35">
      <c r="A11" s="100" t="s">
        <v>120</v>
      </c>
      <c r="B11" s="101" t="s">
        <v>140</v>
      </c>
      <c r="C11" s="101">
        <v>18787</v>
      </c>
      <c r="D11" s="101">
        <v>20682</v>
      </c>
      <c r="E11" s="101">
        <v>21560</v>
      </c>
      <c r="F11" s="101">
        <v>21656</v>
      </c>
      <c r="G11" s="86"/>
      <c r="H11" s="86"/>
      <c r="I11" s="86"/>
      <c r="J11" s="86"/>
      <c r="K11" s="86"/>
      <c r="L11" s="2"/>
      <c r="M11" s="2"/>
      <c r="N11" s="2"/>
      <c r="O11" s="2"/>
      <c r="P11" s="2"/>
      <c r="Q11" s="2"/>
      <c r="R11" s="2"/>
      <c r="S11" s="2"/>
      <c r="T11" s="2"/>
    </row>
    <row r="12" spans="1:20" ht="15" customHeight="1" outlineLevel="1" x14ac:dyDescent="0.35">
      <c r="A12" s="100" t="s">
        <v>121</v>
      </c>
      <c r="B12" s="101" t="s">
        <v>140</v>
      </c>
      <c r="C12" s="101">
        <v>4832</v>
      </c>
      <c r="D12" s="101">
        <v>5984</v>
      </c>
      <c r="E12" s="101">
        <v>7801</v>
      </c>
      <c r="F12" s="101">
        <v>7929</v>
      </c>
      <c r="G12" s="88"/>
      <c r="H12" s="88"/>
      <c r="I12" s="88"/>
      <c r="J12" s="88"/>
      <c r="K12" s="88"/>
      <c r="L12" s="2"/>
      <c r="M12" s="2"/>
      <c r="N12" s="2"/>
      <c r="O12" s="2"/>
      <c r="P12" s="2"/>
      <c r="Q12" s="2"/>
      <c r="R12" s="2"/>
      <c r="S12" s="2"/>
      <c r="T12" s="2"/>
    </row>
    <row r="13" spans="1:20" ht="15" customHeight="1" outlineLevel="2" x14ac:dyDescent="0.35">
      <c r="A13" s="100" t="s">
        <v>122</v>
      </c>
      <c r="B13" s="101" t="s">
        <v>140</v>
      </c>
      <c r="C13" s="101">
        <v>5541</v>
      </c>
      <c r="D13" s="101">
        <v>5541</v>
      </c>
      <c r="E13" s="101">
        <v>4681</v>
      </c>
      <c r="F13" s="101">
        <v>442</v>
      </c>
      <c r="G13" s="86"/>
      <c r="H13" s="86"/>
      <c r="I13" s="86"/>
      <c r="J13" s="86"/>
      <c r="K13" s="86"/>
      <c r="L13" s="2"/>
      <c r="M13" s="2"/>
      <c r="N13" s="2"/>
      <c r="O13" s="2"/>
      <c r="P13" s="2"/>
      <c r="Q13" s="2"/>
      <c r="R13" s="2"/>
      <c r="S13" s="2"/>
      <c r="T13" s="2"/>
    </row>
    <row r="14" spans="1:20" ht="15" customHeight="1" outlineLevel="2" x14ac:dyDescent="0.35">
      <c r="A14" s="100" t="s">
        <v>123</v>
      </c>
      <c r="B14" s="101" t="s">
        <v>140</v>
      </c>
      <c r="C14" s="101">
        <v>8414</v>
      </c>
      <c r="D14" s="101">
        <v>9157</v>
      </c>
      <c r="E14" s="101">
        <v>9078</v>
      </c>
      <c r="F14" s="101">
        <v>9285</v>
      </c>
      <c r="G14" s="86"/>
      <c r="H14" s="86"/>
      <c r="I14" s="86"/>
      <c r="K14" s="86"/>
      <c r="L14" s="2"/>
      <c r="M14" s="2"/>
      <c r="N14" s="2"/>
      <c r="O14" s="2"/>
      <c r="P14" s="2"/>
      <c r="Q14" s="2"/>
      <c r="R14" s="2"/>
      <c r="S14" s="2"/>
      <c r="T14" s="2"/>
    </row>
    <row r="15" spans="1:20" ht="15" customHeight="1" outlineLevel="2" x14ac:dyDescent="0.35">
      <c r="A15" s="100" t="s">
        <v>124</v>
      </c>
      <c r="B15" s="101">
        <v>9163</v>
      </c>
      <c r="C15" s="101">
        <v>9163</v>
      </c>
      <c r="D15" s="101">
        <v>10139</v>
      </c>
      <c r="E15" s="101">
        <v>8236</v>
      </c>
      <c r="F15" s="101">
        <v>4289</v>
      </c>
      <c r="G15" s="86"/>
      <c r="H15" s="86"/>
      <c r="I15" s="86"/>
      <c r="J15" s="85"/>
      <c r="K15" s="86"/>
      <c r="L15" s="2"/>
      <c r="M15" s="2"/>
      <c r="N15" s="2"/>
      <c r="O15" s="2"/>
      <c r="P15" s="2"/>
      <c r="Q15" s="2"/>
      <c r="R15" s="2"/>
      <c r="S15" s="2"/>
      <c r="T15" s="2"/>
    </row>
    <row r="16" spans="1:20" ht="15" customHeight="1" outlineLevel="2" x14ac:dyDescent="0.35">
      <c r="A16" s="100" t="s">
        <v>125</v>
      </c>
      <c r="B16" s="101">
        <v>675</v>
      </c>
      <c r="C16" s="101">
        <v>675</v>
      </c>
      <c r="D16" s="101">
        <v>895</v>
      </c>
      <c r="E16" s="101">
        <v>1109</v>
      </c>
      <c r="F16" s="101">
        <v>419</v>
      </c>
      <c r="G16" s="83"/>
      <c r="H16" s="83"/>
      <c r="I16" s="83"/>
      <c r="J16" s="83"/>
      <c r="K16" s="83"/>
      <c r="L16" s="2"/>
      <c r="M16" s="2"/>
      <c r="N16" s="2"/>
      <c r="O16" s="2"/>
      <c r="P16" s="2"/>
      <c r="Q16" s="2"/>
      <c r="R16" s="2"/>
      <c r="S16" s="2"/>
      <c r="T16" s="2"/>
    </row>
    <row r="17" spans="1:20" ht="15" customHeight="1" outlineLevel="3" x14ac:dyDescent="0.35">
      <c r="A17" s="100" t="s">
        <v>126</v>
      </c>
      <c r="B17" s="101">
        <v>769</v>
      </c>
      <c r="C17" s="101">
        <v>769</v>
      </c>
      <c r="D17" s="101">
        <v>848</v>
      </c>
      <c r="E17" s="101">
        <v>969</v>
      </c>
      <c r="F17" s="101">
        <v>663</v>
      </c>
      <c r="G17" s="4"/>
      <c r="H17" s="4"/>
      <c r="I17" s="4"/>
      <c r="J17" s="4"/>
      <c r="K17" s="4"/>
      <c r="L17" s="2"/>
      <c r="M17" s="2"/>
      <c r="N17" s="2"/>
      <c r="O17" s="2"/>
      <c r="P17" s="2"/>
      <c r="Q17" s="2"/>
      <c r="R17" s="2"/>
      <c r="S17" s="2"/>
      <c r="T17" s="2"/>
    </row>
    <row r="18" spans="1:20" ht="15" customHeight="1" outlineLevel="3" x14ac:dyDescent="0.35">
      <c r="A18" s="100" t="s">
        <v>127</v>
      </c>
      <c r="B18" s="101">
        <v>3156</v>
      </c>
      <c r="C18" s="101">
        <v>3156</v>
      </c>
      <c r="D18" s="101">
        <v>3639</v>
      </c>
      <c r="E18" s="101">
        <v>2771</v>
      </c>
      <c r="F18" s="101">
        <v>1451</v>
      </c>
      <c r="G18" s="4"/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</row>
    <row r="19" spans="1:20" ht="15" customHeight="1" outlineLevel="2" x14ac:dyDescent="0.35">
      <c r="A19" s="100" t="s">
        <v>128</v>
      </c>
      <c r="B19" s="101">
        <v>2381</v>
      </c>
      <c r="C19" s="101">
        <v>2381</v>
      </c>
      <c r="D19" s="101">
        <v>2628</v>
      </c>
      <c r="E19" s="101">
        <v>2300</v>
      </c>
      <c r="F19" s="101">
        <v>1115</v>
      </c>
      <c r="G19" s="85"/>
      <c r="H19" s="86"/>
      <c r="I19" s="86"/>
      <c r="J19" s="85"/>
      <c r="K19" s="85"/>
      <c r="L19" s="2"/>
      <c r="M19" s="2"/>
      <c r="N19" s="2"/>
      <c r="O19" s="2"/>
      <c r="P19" s="2"/>
      <c r="Q19" s="2"/>
      <c r="R19" s="2"/>
      <c r="S19" s="2"/>
      <c r="T19" s="2"/>
    </row>
    <row r="20" spans="1:20" ht="15" customHeight="1" outlineLevel="2" x14ac:dyDescent="0.35">
      <c r="A20" s="100" t="s">
        <v>129</v>
      </c>
      <c r="B20" s="101">
        <v>6981</v>
      </c>
      <c r="C20" s="101">
        <v>6981</v>
      </c>
      <c r="D20" s="101">
        <v>8010</v>
      </c>
      <c r="E20" s="101">
        <v>7149</v>
      </c>
      <c r="F20" s="101">
        <v>3648</v>
      </c>
      <c r="G20" s="4"/>
      <c r="H20" s="4"/>
      <c r="I20" s="4"/>
      <c r="J20" s="4"/>
      <c r="K20" s="4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outlineLevel="2" x14ac:dyDescent="0.35">
      <c r="A21" s="100" t="s">
        <v>130</v>
      </c>
      <c r="B21" s="101">
        <v>2182</v>
      </c>
      <c r="C21" s="101">
        <v>2182</v>
      </c>
      <c r="D21" s="101">
        <v>2129</v>
      </c>
      <c r="E21" s="101">
        <v>1087</v>
      </c>
      <c r="F21" s="101">
        <v>641</v>
      </c>
      <c r="G21" s="4"/>
      <c r="H21" s="4"/>
      <c r="I21" s="4"/>
      <c r="J21" s="4"/>
      <c r="K21" s="4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outlineLevel="2" x14ac:dyDescent="0.35">
      <c r="A22" s="100" t="s">
        <v>131</v>
      </c>
      <c r="B22" s="101">
        <v>1957</v>
      </c>
      <c r="C22" s="101">
        <v>1957</v>
      </c>
      <c r="D22" s="101">
        <v>1893</v>
      </c>
      <c r="E22" s="101">
        <v>819</v>
      </c>
      <c r="F22" s="101">
        <v>446</v>
      </c>
      <c r="G22" s="88"/>
      <c r="H22" s="88"/>
      <c r="I22" s="88"/>
      <c r="J22" s="88"/>
      <c r="K22" s="88"/>
      <c r="L22" s="2"/>
      <c r="M22" s="2"/>
      <c r="N22" s="2"/>
      <c r="O22" s="2"/>
      <c r="P22" s="2"/>
      <c r="Q22" s="2"/>
      <c r="R22" s="2"/>
      <c r="S22" s="2"/>
      <c r="T22" s="2"/>
    </row>
    <row r="23" spans="1:20" ht="15" customHeight="1" outlineLevel="3" x14ac:dyDescent="0.35">
      <c r="A23" s="100" t="s">
        <v>132</v>
      </c>
      <c r="B23" s="101">
        <v>-438</v>
      </c>
      <c r="C23" s="101">
        <v>-428</v>
      </c>
      <c r="D23" s="101">
        <v>-552</v>
      </c>
      <c r="E23" s="101">
        <v>-275</v>
      </c>
      <c r="F23" s="101">
        <v>-164</v>
      </c>
      <c r="G23" s="85"/>
      <c r="H23" s="85"/>
      <c r="I23" s="85"/>
      <c r="J23" s="85"/>
      <c r="K23" s="85"/>
      <c r="L23" s="2"/>
      <c r="M23" s="2"/>
      <c r="N23" s="2"/>
      <c r="O23" s="2"/>
      <c r="P23" s="2"/>
      <c r="Q23" s="2"/>
      <c r="R23" s="2"/>
      <c r="S23" s="2"/>
      <c r="T23" s="2"/>
    </row>
    <row r="24" spans="1:20" ht="15" customHeight="1" outlineLevel="3" x14ac:dyDescent="0.35">
      <c r="A24" s="100" t="s">
        <v>133</v>
      </c>
      <c r="B24" s="101">
        <v>1529</v>
      </c>
      <c r="C24" s="101">
        <v>1529</v>
      </c>
      <c r="D24" s="101">
        <v>1341</v>
      </c>
      <c r="E24" s="101">
        <v>544</v>
      </c>
      <c r="F24" s="101">
        <v>282</v>
      </c>
      <c r="G24" s="85"/>
      <c r="H24" s="85"/>
      <c r="I24" s="85"/>
      <c r="J24" s="85"/>
      <c r="K24" s="85"/>
      <c r="L24" s="2"/>
      <c r="M24" s="2"/>
      <c r="N24" s="2"/>
      <c r="O24" s="2"/>
      <c r="P24" s="2"/>
      <c r="Q24" s="2"/>
      <c r="R24" s="2"/>
      <c r="S24" s="2"/>
      <c r="T24" s="2"/>
    </row>
    <row r="25" spans="1:20" ht="15" customHeight="1" outlineLevel="3" x14ac:dyDescent="0.35">
      <c r="A25" s="100" t="s">
        <v>134</v>
      </c>
      <c r="B25" s="101">
        <v>1267</v>
      </c>
      <c r="C25" s="101">
        <v>1267</v>
      </c>
      <c r="D25" s="101">
        <v>1084</v>
      </c>
      <c r="E25" s="101">
        <v>293</v>
      </c>
      <c r="F25" s="101">
        <v>200</v>
      </c>
      <c r="G25" s="86"/>
      <c r="H25" s="86"/>
      <c r="I25" s="86"/>
      <c r="J25" s="86"/>
      <c r="K25" s="86"/>
      <c r="L25" s="2"/>
      <c r="M25" s="2"/>
      <c r="N25" s="2"/>
      <c r="O25" s="2"/>
      <c r="P25" s="2"/>
      <c r="Q25" s="2"/>
      <c r="R25" s="2"/>
      <c r="S25" s="2"/>
      <c r="T25" s="2"/>
    </row>
    <row r="26" spans="1:20" ht="15" customHeight="1" outlineLevel="3" x14ac:dyDescent="0.35">
      <c r="A26" s="100" t="s">
        <v>135</v>
      </c>
      <c r="B26" s="101">
        <v>2765</v>
      </c>
      <c r="C26" s="101">
        <v>2765</v>
      </c>
      <c r="D26" s="101">
        <v>2465</v>
      </c>
      <c r="E26" s="101" t="s">
        <v>140</v>
      </c>
      <c r="F26" s="101" t="s">
        <v>140</v>
      </c>
      <c r="G26" s="86"/>
      <c r="H26" s="86"/>
      <c r="I26" s="85"/>
      <c r="J26" s="86"/>
      <c r="K26" s="86"/>
      <c r="L26" s="2"/>
      <c r="M26" s="2"/>
      <c r="N26" s="2"/>
      <c r="O26" s="2"/>
      <c r="P26" s="2"/>
      <c r="Q26" s="2"/>
      <c r="R26" s="2"/>
      <c r="S26" s="2"/>
      <c r="T26" s="2"/>
    </row>
    <row r="27" spans="1:20" ht="15" customHeight="1" outlineLevel="3" x14ac:dyDescent="0.35">
      <c r="A27" s="100" t="s">
        <v>136</v>
      </c>
      <c r="B27" s="101">
        <v>-1193</v>
      </c>
      <c r="C27" s="101">
        <v>-1537</v>
      </c>
      <c r="D27" s="101">
        <v>-1429</v>
      </c>
      <c r="E27" s="101" t="s">
        <v>140</v>
      </c>
      <c r="F27" s="101" t="s">
        <v>140</v>
      </c>
      <c r="G27" s="83"/>
      <c r="H27" s="83"/>
      <c r="I27" s="83"/>
      <c r="J27" s="83"/>
      <c r="K27" s="83"/>
      <c r="L27" s="2"/>
      <c r="M27" s="2"/>
      <c r="N27" s="2"/>
      <c r="O27" s="2"/>
      <c r="P27" s="2"/>
      <c r="Q27" s="2"/>
      <c r="R27" s="2"/>
      <c r="S27" s="2"/>
      <c r="T27" s="2"/>
    </row>
    <row r="28" spans="1:20" ht="15" customHeight="1" outlineLevel="4" x14ac:dyDescent="0.35">
      <c r="A28" s="100" t="s">
        <v>137</v>
      </c>
      <c r="B28" s="101">
        <v>-1537</v>
      </c>
      <c r="C28" s="101">
        <v>-1537</v>
      </c>
      <c r="D28" s="101">
        <v>-706</v>
      </c>
      <c r="E28" s="101" t="s">
        <v>140</v>
      </c>
      <c r="F28" s="101" t="s">
        <v>140</v>
      </c>
      <c r="G28" s="4"/>
      <c r="H28" s="4"/>
      <c r="I28" s="4"/>
      <c r="J28" s="4"/>
      <c r="K28" s="4"/>
      <c r="L28" s="2"/>
      <c r="M28" s="2"/>
      <c r="N28" s="2"/>
      <c r="O28" s="2"/>
      <c r="P28" s="2"/>
      <c r="Q28" s="2"/>
      <c r="R28" s="2"/>
      <c r="S28" s="2"/>
      <c r="T28" s="2"/>
    </row>
    <row r="29" spans="1:20" ht="15" customHeight="1" outlineLevel="4" x14ac:dyDescent="0.35">
      <c r="A29" s="100" t="s">
        <v>138</v>
      </c>
      <c r="B29" s="101">
        <v>-1297</v>
      </c>
      <c r="C29" s="101">
        <v>-1297</v>
      </c>
      <c r="D29" s="101">
        <v>-1442</v>
      </c>
      <c r="E29" s="101" t="s">
        <v>140</v>
      </c>
      <c r="F29" s="101" t="s">
        <v>140</v>
      </c>
      <c r="G29" s="4"/>
      <c r="H29" s="4"/>
      <c r="I29" s="4"/>
      <c r="J29" s="4"/>
      <c r="K29" s="4"/>
      <c r="L29" s="2"/>
      <c r="M29" s="2"/>
      <c r="N29" s="2"/>
      <c r="O29" s="2"/>
      <c r="P29" s="2"/>
      <c r="Q29" s="2"/>
      <c r="R29" s="2"/>
      <c r="S29" s="2"/>
      <c r="T29" s="2"/>
    </row>
    <row r="30" spans="1:20" ht="15" customHeight="1" x14ac:dyDescent="0.35">
      <c r="A30" s="100" t="s">
        <v>139</v>
      </c>
      <c r="B30" s="101">
        <v>35</v>
      </c>
      <c r="C30" s="101">
        <v>35</v>
      </c>
      <c r="D30" s="100">
        <v>330</v>
      </c>
      <c r="E30" s="101" t="s">
        <v>140</v>
      </c>
      <c r="F30" s="101" t="s">
        <v>140</v>
      </c>
      <c r="G30" s="83"/>
      <c r="H30" s="83"/>
      <c r="I30" s="83"/>
      <c r="J30" s="83"/>
      <c r="K30" s="83"/>
      <c r="L30" s="2"/>
      <c r="M30" s="2"/>
      <c r="N30" s="2"/>
      <c r="O30" s="2"/>
      <c r="P30" s="2"/>
      <c r="Q30" s="2"/>
      <c r="R30" s="2"/>
      <c r="S30" s="2"/>
      <c r="T30" s="2"/>
    </row>
    <row r="31" spans="1:20" ht="15" customHeight="1" outlineLevel="1" x14ac:dyDescent="0.3">
      <c r="A31" s="87"/>
      <c r="B31" s="83"/>
      <c r="C31" s="83"/>
      <c r="D31" s="83"/>
      <c r="E31" s="83"/>
      <c r="F31" s="83"/>
      <c r="G31" s="88"/>
      <c r="H31" s="88"/>
      <c r="I31" s="88"/>
      <c r="J31" s="88"/>
      <c r="K31" s="88"/>
      <c r="L31" s="2"/>
      <c r="M31" s="2"/>
      <c r="N31" s="2"/>
      <c r="O31" s="2"/>
      <c r="P31" s="2"/>
      <c r="Q31" s="2"/>
      <c r="R31" s="2"/>
      <c r="S31" s="2"/>
      <c r="T31" s="2"/>
    </row>
    <row r="32" spans="1:20" ht="15" customHeight="1" outlineLevel="2" x14ac:dyDescent="0.25">
      <c r="A32" s="89"/>
      <c r="B32" s="4"/>
      <c r="C32" s="4"/>
      <c r="D32" s="4"/>
      <c r="E32" s="4"/>
      <c r="F32" s="4"/>
      <c r="G32" s="85"/>
      <c r="H32" s="85"/>
      <c r="I32" s="85"/>
      <c r="J32" s="85"/>
      <c r="K32" s="85"/>
      <c r="L32" s="2"/>
      <c r="M32" s="2"/>
      <c r="N32" s="2"/>
      <c r="O32" s="2"/>
      <c r="P32" s="2"/>
      <c r="Q32" s="2"/>
      <c r="R32" s="2"/>
      <c r="S32" s="2"/>
      <c r="T32" s="2"/>
    </row>
    <row r="33" spans="1:20" ht="15" customHeight="1" outlineLevel="2" x14ac:dyDescent="0.25">
      <c r="A33" s="89"/>
      <c r="B33" s="4"/>
      <c r="C33" s="4"/>
      <c r="D33" s="4"/>
      <c r="E33" s="4"/>
      <c r="F33" s="4"/>
      <c r="G33" s="86"/>
      <c r="H33" s="86"/>
      <c r="I33" s="86"/>
      <c r="J33" s="86"/>
      <c r="K33" s="86"/>
      <c r="L33" s="2"/>
      <c r="M33" s="2"/>
      <c r="N33" s="2"/>
      <c r="O33" s="2"/>
      <c r="P33" s="2"/>
      <c r="Q33" s="2"/>
      <c r="R33" s="2"/>
      <c r="S33" s="2"/>
      <c r="T33" s="2"/>
    </row>
    <row r="34" spans="1:20" ht="15" customHeight="1" outlineLevel="1" x14ac:dyDescent="0.25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2"/>
      <c r="M34" s="2"/>
      <c r="N34" s="2"/>
      <c r="O34" s="2"/>
      <c r="P34" s="2"/>
      <c r="Q34" s="2"/>
      <c r="R34" s="2"/>
      <c r="S34" s="2"/>
      <c r="T34" s="2"/>
    </row>
    <row r="35" spans="1:20" ht="15" customHeight="1" outlineLevel="1" x14ac:dyDescent="0.25">
      <c r="A35" s="84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2"/>
      <c r="M35" s="2"/>
      <c r="N35" s="2"/>
      <c r="O35" s="2"/>
      <c r="P35" s="2"/>
      <c r="Q35" s="2"/>
      <c r="R35" s="2"/>
      <c r="S35" s="2"/>
      <c r="T35" s="2"/>
    </row>
    <row r="36" spans="1:20" ht="15" customHeight="1" outlineLevel="1" x14ac:dyDescent="0.25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2"/>
      <c r="M36" s="2"/>
      <c r="N36" s="2"/>
      <c r="O36" s="2"/>
      <c r="P36" s="2"/>
      <c r="Q36" s="2"/>
      <c r="R36" s="2"/>
      <c r="S36" s="2"/>
      <c r="T36" s="2"/>
    </row>
    <row r="37" spans="1:20" ht="15" customHeight="1" x14ac:dyDescent="0.3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2"/>
      <c r="M37" s="2"/>
      <c r="N37" s="2"/>
      <c r="O37" s="2"/>
      <c r="P37" s="2"/>
      <c r="Q37" s="2"/>
      <c r="R37" s="2"/>
      <c r="S37" s="2"/>
      <c r="T37" s="2"/>
    </row>
    <row r="38" spans="1:20" ht="15" customHeight="1" outlineLevel="1" x14ac:dyDescent="0.25">
      <c r="A38" s="84"/>
      <c r="B38" s="86"/>
      <c r="C38" s="86"/>
      <c r="D38" s="86"/>
      <c r="E38" s="86"/>
      <c r="F38" s="86"/>
      <c r="G38" s="4"/>
      <c r="H38" s="4"/>
      <c r="I38" s="4"/>
      <c r="J38" s="4"/>
      <c r="K38" s="4"/>
      <c r="L38" s="2"/>
      <c r="M38" s="2"/>
      <c r="N38" s="2"/>
      <c r="O38" s="2"/>
      <c r="P38" s="2"/>
      <c r="Q38" s="2"/>
      <c r="R38" s="2"/>
      <c r="S38" s="2"/>
      <c r="T38" s="2"/>
    </row>
    <row r="39" spans="1:20" ht="15" customHeight="1" outlineLevel="1" x14ac:dyDescent="0.25">
      <c r="A39" s="84"/>
      <c r="B39" s="85"/>
      <c r="C39" s="86"/>
      <c r="D39" s="86"/>
      <c r="E39" s="4"/>
      <c r="F39" s="4"/>
      <c r="G39" s="4"/>
      <c r="H39" s="4"/>
      <c r="I39" s="4"/>
      <c r="J39" s="4"/>
      <c r="K39" s="4"/>
      <c r="L39" s="2"/>
      <c r="M39" s="2"/>
      <c r="N39" s="2"/>
      <c r="O39" s="2"/>
      <c r="P39" s="2"/>
      <c r="Q39" s="2"/>
      <c r="R39" s="2"/>
      <c r="S39" s="2"/>
      <c r="T39" s="2"/>
    </row>
    <row r="40" spans="1:20" ht="15" customHeight="1" outlineLevel="1" x14ac:dyDescent="0.3">
      <c r="A40" s="87"/>
      <c r="B40" s="83"/>
      <c r="C40" s="83"/>
      <c r="D40" s="83"/>
      <c r="E40" s="83"/>
      <c r="F40" s="83"/>
      <c r="G40" s="83"/>
      <c r="H40" s="83"/>
      <c r="I40" s="83"/>
      <c r="J40" s="88"/>
      <c r="K40" s="88"/>
      <c r="L40" s="2"/>
      <c r="M40" s="2"/>
      <c r="N40" s="2"/>
      <c r="O40" s="2"/>
      <c r="P40" s="2"/>
      <c r="Q40" s="2"/>
      <c r="R40" s="2"/>
      <c r="S40" s="2"/>
      <c r="T40" s="2"/>
    </row>
    <row r="41" spans="1:20" ht="15" customHeight="1" outlineLevel="2" x14ac:dyDescent="0.25">
      <c r="A41" s="89"/>
      <c r="B41" s="4"/>
      <c r="C41" s="4"/>
      <c r="D41" s="4"/>
      <c r="E41" s="4"/>
      <c r="F41" s="4"/>
      <c r="G41" s="4"/>
      <c r="H41" s="4"/>
      <c r="I41" s="4"/>
      <c r="J41" s="4"/>
      <c r="K41" s="4"/>
      <c r="L41" s="2"/>
      <c r="M41" s="2"/>
      <c r="N41" s="2"/>
      <c r="O41" s="2"/>
      <c r="P41" s="2"/>
      <c r="Q41" s="2"/>
      <c r="R41" s="2"/>
      <c r="S41" s="2"/>
      <c r="T41" s="2"/>
    </row>
    <row r="42" spans="1:20" ht="15" customHeight="1" outlineLevel="2" x14ac:dyDescent="0.25">
      <c r="A42" s="89"/>
      <c r="B42" s="4"/>
      <c r="C42" s="4"/>
      <c r="D42" s="4"/>
      <c r="E42" s="4"/>
      <c r="F42" s="4"/>
      <c r="G42" s="4"/>
      <c r="H42" s="4"/>
      <c r="I42" s="4"/>
      <c r="J42" s="86"/>
      <c r="K42" s="86"/>
      <c r="L42" s="2"/>
      <c r="M42" s="2"/>
      <c r="N42" s="2"/>
      <c r="O42" s="2"/>
      <c r="P42" s="2"/>
      <c r="Q42" s="2"/>
      <c r="R42" s="2"/>
      <c r="S42" s="2"/>
      <c r="T42" s="2"/>
    </row>
    <row r="43" spans="1:20" ht="15" customHeight="1" outlineLevel="2" x14ac:dyDescent="0.25">
      <c r="A43" s="89"/>
      <c r="B43" s="4"/>
      <c r="C43" s="4"/>
      <c r="D43" s="4"/>
      <c r="E43" s="4"/>
      <c r="F43" s="4"/>
      <c r="G43" s="4"/>
      <c r="H43" s="4"/>
      <c r="I43" s="4"/>
      <c r="J43" s="86"/>
      <c r="K43" s="86"/>
      <c r="L43" s="2"/>
      <c r="M43" s="2"/>
      <c r="N43" s="2"/>
      <c r="O43" s="2"/>
      <c r="P43" s="2"/>
      <c r="Q43" s="2"/>
      <c r="R43" s="2"/>
      <c r="S43" s="2"/>
      <c r="T43" s="2"/>
    </row>
    <row r="44" spans="1:20" ht="15" customHeight="1" outlineLevel="1" x14ac:dyDescent="0.3">
      <c r="A44" s="87"/>
      <c r="B44" s="83"/>
      <c r="C44" s="83"/>
      <c r="D44" s="88"/>
      <c r="E44" s="88"/>
      <c r="F44" s="88"/>
      <c r="G44" s="88"/>
      <c r="H44" s="88"/>
      <c r="I44" s="88"/>
      <c r="J44" s="88"/>
      <c r="K44" s="88"/>
      <c r="L44" s="2"/>
      <c r="M44" s="2"/>
      <c r="N44" s="2"/>
      <c r="O44" s="2"/>
      <c r="P44" s="2"/>
      <c r="Q44" s="2"/>
      <c r="R44" s="2"/>
      <c r="S44" s="2"/>
      <c r="T44" s="2"/>
    </row>
    <row r="45" spans="1:20" ht="15" customHeight="1" outlineLevel="2" x14ac:dyDescent="0.3">
      <c r="A45" s="90"/>
      <c r="B45" s="82"/>
      <c r="C45" s="82"/>
      <c r="D45" s="83"/>
      <c r="E45" s="83"/>
      <c r="F45" s="83"/>
      <c r="G45" s="83"/>
      <c r="H45" s="83"/>
      <c r="I45" s="83"/>
      <c r="J45" s="88"/>
      <c r="K45" s="88"/>
      <c r="L45" s="2"/>
      <c r="M45" s="2"/>
      <c r="N45" s="2"/>
      <c r="O45" s="2"/>
      <c r="P45" s="2"/>
      <c r="Q45" s="2"/>
      <c r="R45" s="2"/>
      <c r="S45" s="2"/>
      <c r="T45" s="2"/>
    </row>
    <row r="46" spans="1:20" ht="15" customHeight="1" outlineLevel="3" x14ac:dyDescent="0.25">
      <c r="A46" s="91"/>
      <c r="B46" s="4"/>
      <c r="C46" s="4"/>
      <c r="D46" s="4"/>
      <c r="E46" s="4"/>
      <c r="F46" s="4"/>
      <c r="G46" s="4"/>
      <c r="H46" s="4"/>
      <c r="I46" s="4"/>
      <c r="J46" s="85"/>
      <c r="K46" s="85"/>
      <c r="L46" s="2"/>
      <c r="M46" s="2"/>
      <c r="N46" s="2"/>
      <c r="O46" s="2"/>
      <c r="P46" s="2"/>
      <c r="Q46" s="2"/>
      <c r="R46" s="2"/>
      <c r="S46" s="2"/>
      <c r="T46" s="2"/>
    </row>
    <row r="47" spans="1:20" ht="15" customHeight="1" outlineLevel="3" x14ac:dyDescent="0.25">
      <c r="A47" s="91"/>
      <c r="B47" s="4"/>
      <c r="C47" s="4"/>
      <c r="D47" s="4"/>
      <c r="E47" s="4"/>
      <c r="F47" s="4"/>
      <c r="G47" s="4"/>
      <c r="H47" s="4"/>
      <c r="I47" s="4"/>
      <c r="J47" s="85"/>
      <c r="K47" s="85"/>
      <c r="L47" s="2"/>
      <c r="M47" s="2"/>
      <c r="N47" s="2"/>
      <c r="O47" s="2"/>
      <c r="P47" s="2"/>
      <c r="Q47" s="2"/>
      <c r="R47" s="2"/>
      <c r="S47" s="2"/>
      <c r="T47" s="2"/>
    </row>
    <row r="48" spans="1:20" ht="15" customHeight="1" outlineLevel="2" x14ac:dyDescent="0.25">
      <c r="A48" s="89"/>
      <c r="B48" s="4"/>
      <c r="C48" s="4"/>
      <c r="D48" s="85"/>
      <c r="E48" s="85"/>
      <c r="F48" s="85"/>
      <c r="G48" s="85"/>
      <c r="H48" s="85"/>
      <c r="I48" s="85"/>
      <c r="J48" s="85"/>
      <c r="K48" s="85"/>
      <c r="L48" s="2"/>
      <c r="M48" s="2"/>
      <c r="N48" s="2"/>
      <c r="O48" s="2"/>
      <c r="P48" s="2"/>
      <c r="Q48" s="2"/>
      <c r="R48" s="2"/>
      <c r="S48" s="2"/>
      <c r="T48" s="2"/>
    </row>
    <row r="49" spans="1:20" ht="15" customHeight="1" outlineLevel="2" x14ac:dyDescent="0.25">
      <c r="A49" s="89"/>
      <c r="B49" s="4"/>
      <c r="C49" s="4"/>
      <c r="D49" s="85"/>
      <c r="E49" s="85"/>
      <c r="F49" s="85"/>
      <c r="G49" s="85"/>
      <c r="H49" s="85"/>
      <c r="I49" s="85"/>
      <c r="J49" s="85"/>
      <c r="K49" s="85"/>
      <c r="L49" s="2"/>
      <c r="M49" s="2"/>
      <c r="N49" s="2"/>
      <c r="O49" s="2"/>
      <c r="P49" s="2"/>
      <c r="Q49" s="2"/>
      <c r="R49" s="2"/>
      <c r="S49" s="2"/>
      <c r="T49" s="2"/>
    </row>
    <row r="50" spans="1:20" ht="15" customHeight="1" x14ac:dyDescent="0.25">
      <c r="A50" s="4"/>
      <c r="B50" s="85"/>
      <c r="C50" s="85"/>
      <c r="D50" s="85"/>
      <c r="E50" s="85"/>
      <c r="F50" s="85"/>
      <c r="G50" s="86"/>
      <c r="H50" s="85"/>
      <c r="I50" s="86"/>
      <c r="J50" s="86"/>
      <c r="K50" s="85"/>
      <c r="L50" s="2"/>
      <c r="M50" s="2"/>
      <c r="N50" s="2"/>
      <c r="O50" s="2"/>
      <c r="P50" s="2"/>
      <c r="Q50" s="2"/>
      <c r="R50" s="2"/>
      <c r="S50" s="2"/>
      <c r="T50" s="2"/>
    </row>
    <row r="51" spans="1:20" ht="15" customHeight="1" x14ac:dyDescent="0.25">
      <c r="A51" s="4"/>
      <c r="B51" s="86"/>
      <c r="C51" s="86"/>
      <c r="D51" s="86"/>
      <c r="E51" s="86"/>
      <c r="F51" s="86"/>
      <c r="G51" s="86"/>
      <c r="H51" s="86"/>
      <c r="I51" s="86"/>
      <c r="J51" s="86"/>
      <c r="K51" s="85"/>
      <c r="L51" s="2"/>
      <c r="M51" s="2"/>
      <c r="N51" s="2"/>
      <c r="O51" s="2"/>
      <c r="P51" s="2"/>
      <c r="Q51" s="2"/>
      <c r="R51" s="2"/>
      <c r="S51" s="2"/>
      <c r="T51" s="2"/>
    </row>
    <row r="52" spans="1:20" ht="15" customHeight="1" x14ac:dyDescent="0.25">
      <c r="A52" s="4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2"/>
      <c r="M52" s="2"/>
      <c r="N52" s="2"/>
      <c r="O52" s="2"/>
      <c r="P52" s="2"/>
      <c r="Q52" s="2"/>
      <c r="R52" s="2"/>
      <c r="S52" s="2"/>
      <c r="T52" s="2"/>
    </row>
    <row r="53" spans="1:20" ht="15" customHeight="1" x14ac:dyDescent="0.25">
      <c r="A53" s="4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2"/>
      <c r="M53" s="2"/>
      <c r="N53" s="2"/>
      <c r="O53" s="2"/>
      <c r="P53" s="2"/>
      <c r="Q53" s="2"/>
      <c r="R53" s="2"/>
      <c r="S53" s="2"/>
      <c r="T53" s="2"/>
    </row>
    <row r="54" spans="1:20" ht="15" customHeight="1" x14ac:dyDescent="0.3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2"/>
      <c r="M54" s="2"/>
      <c r="N54" s="2"/>
      <c r="O54" s="2"/>
      <c r="P54" s="2"/>
      <c r="Q54" s="2"/>
      <c r="R54" s="2"/>
      <c r="S54" s="2"/>
      <c r="T54" s="2"/>
    </row>
    <row r="55" spans="1:20" ht="15" customHeight="1" outlineLevel="1" x14ac:dyDescent="0.25">
      <c r="A55" s="84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2"/>
      <c r="M55" s="2"/>
      <c r="N55" s="2"/>
      <c r="O55" s="2"/>
      <c r="P55" s="2"/>
      <c r="Q55" s="2"/>
      <c r="R55" s="2"/>
      <c r="S55" s="2"/>
      <c r="T55" s="2"/>
    </row>
    <row r="56" spans="1:20" ht="15" customHeight="1" outlineLevel="1" x14ac:dyDescent="0.25">
      <c r="A56" s="84"/>
      <c r="B56" s="4"/>
      <c r="C56" s="4"/>
      <c r="D56" s="4"/>
      <c r="E56" s="4"/>
      <c r="F56" s="4"/>
      <c r="G56" s="4"/>
      <c r="H56" s="4"/>
      <c r="I56" s="85"/>
      <c r="J56" s="85"/>
      <c r="K56" s="85"/>
      <c r="L56" s="2"/>
      <c r="M56" s="2"/>
      <c r="N56" s="2"/>
      <c r="O56" s="2"/>
      <c r="P56" s="2"/>
      <c r="Q56" s="2"/>
      <c r="R56" s="2"/>
      <c r="S56" s="2"/>
      <c r="T56" s="2"/>
    </row>
    <row r="57" spans="1:20" ht="15" customHeight="1" outlineLevel="1" x14ac:dyDescent="0.3">
      <c r="A57" s="87"/>
      <c r="B57" s="82"/>
      <c r="C57" s="82"/>
      <c r="D57" s="82"/>
      <c r="E57" s="83"/>
      <c r="F57" s="83"/>
      <c r="G57" s="83"/>
      <c r="H57" s="83"/>
      <c r="I57" s="88"/>
      <c r="J57" s="88"/>
      <c r="K57" s="88"/>
      <c r="L57" s="2"/>
      <c r="M57" s="2"/>
      <c r="N57" s="2"/>
      <c r="O57" s="2"/>
      <c r="P57" s="2"/>
      <c r="Q57" s="2"/>
      <c r="R57" s="2"/>
      <c r="S57" s="2"/>
      <c r="T57" s="2"/>
    </row>
    <row r="58" spans="1:20" ht="15" customHeight="1" outlineLevel="2" x14ac:dyDescent="0.3">
      <c r="A58" s="90"/>
      <c r="B58" s="82"/>
      <c r="C58" s="82"/>
      <c r="D58" s="82"/>
      <c r="E58" s="82"/>
      <c r="F58" s="82"/>
      <c r="G58" s="82"/>
      <c r="H58" s="82"/>
      <c r="I58" s="88"/>
      <c r="J58" s="83"/>
      <c r="K58" s="83"/>
      <c r="L58" s="2"/>
      <c r="M58" s="2"/>
      <c r="N58" s="2"/>
      <c r="O58" s="2"/>
      <c r="P58" s="2"/>
      <c r="Q58" s="2"/>
      <c r="R58" s="2"/>
      <c r="S58" s="2"/>
      <c r="T58" s="2"/>
    </row>
    <row r="59" spans="1:20" ht="15" customHeight="1" outlineLevel="3" x14ac:dyDescent="0.25">
      <c r="A59" s="91"/>
      <c r="B59" s="4"/>
      <c r="C59" s="4"/>
      <c r="D59" s="4"/>
      <c r="E59" s="4"/>
      <c r="F59" s="4"/>
      <c r="G59" s="4"/>
      <c r="H59" s="4"/>
      <c r="I59" s="86"/>
      <c r="J59" s="4"/>
      <c r="K59" s="4"/>
      <c r="L59" s="2"/>
      <c r="M59" s="2"/>
      <c r="N59" s="2"/>
      <c r="O59" s="2"/>
      <c r="P59" s="2"/>
      <c r="Q59" s="2"/>
      <c r="R59" s="2"/>
      <c r="S59" s="2"/>
      <c r="T59" s="2"/>
    </row>
    <row r="60" spans="1:20" ht="15" customHeight="1" outlineLevel="3" x14ac:dyDescent="0.25">
      <c r="A60" s="91"/>
      <c r="B60" s="4"/>
      <c r="C60" s="4"/>
      <c r="D60" s="4"/>
      <c r="E60" s="4"/>
      <c r="F60" s="4"/>
      <c r="G60" s="4"/>
      <c r="H60" s="4"/>
      <c r="I60" s="85"/>
      <c r="J60" s="4"/>
      <c r="K60" s="4"/>
      <c r="L60" s="2"/>
      <c r="M60" s="2"/>
      <c r="N60" s="2"/>
      <c r="O60" s="2"/>
      <c r="P60" s="2"/>
      <c r="Q60" s="2"/>
      <c r="R60" s="2"/>
      <c r="S60" s="2"/>
      <c r="T60" s="2"/>
    </row>
    <row r="61" spans="1:20" ht="15" customHeight="1" outlineLevel="2" x14ac:dyDescent="0.25">
      <c r="A61" s="89"/>
      <c r="B61" s="4"/>
      <c r="C61" s="4"/>
      <c r="D61" s="4"/>
      <c r="E61" s="4"/>
      <c r="F61" s="4"/>
      <c r="G61" s="4"/>
      <c r="H61" s="4"/>
      <c r="I61" s="85"/>
      <c r="J61" s="85"/>
      <c r="K61" s="85"/>
      <c r="L61" s="2"/>
      <c r="M61" s="2"/>
      <c r="N61" s="2"/>
      <c r="O61" s="2"/>
      <c r="P61" s="2"/>
      <c r="Q61" s="2"/>
      <c r="R61" s="2"/>
      <c r="S61" s="2"/>
      <c r="T61" s="2"/>
    </row>
    <row r="62" spans="1:20" ht="15" customHeight="1" outlineLevel="1" x14ac:dyDescent="0.25">
      <c r="A62" s="84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2"/>
      <c r="M62" s="2"/>
      <c r="N62" s="2"/>
      <c r="O62" s="2"/>
      <c r="P62" s="2"/>
      <c r="Q62" s="2"/>
      <c r="R62" s="2"/>
      <c r="S62" s="2"/>
      <c r="T62" s="2"/>
    </row>
    <row r="63" spans="1:20" ht="15" customHeight="1" outlineLevel="1" x14ac:dyDescent="0.25">
      <c r="A63" s="84"/>
      <c r="B63" s="4"/>
      <c r="C63" s="4"/>
      <c r="D63" s="4"/>
      <c r="E63" s="4"/>
      <c r="F63" s="4"/>
      <c r="G63" s="4"/>
      <c r="H63" s="4"/>
      <c r="I63" s="85"/>
      <c r="J63" s="85"/>
      <c r="K63" s="85"/>
      <c r="L63" s="2"/>
      <c r="M63" s="2"/>
      <c r="N63" s="2"/>
      <c r="O63" s="2"/>
      <c r="P63" s="2"/>
      <c r="Q63" s="2"/>
      <c r="R63" s="2"/>
      <c r="S63" s="2"/>
      <c r="T63" s="2"/>
    </row>
    <row r="64" spans="1:20" ht="15" customHeight="1" outlineLevel="1" x14ac:dyDescent="0.3">
      <c r="A64" s="87"/>
      <c r="B64" s="83"/>
      <c r="C64" s="83"/>
      <c r="D64" s="83"/>
      <c r="E64" s="83"/>
      <c r="F64" s="83"/>
      <c r="G64" s="83"/>
      <c r="H64" s="83"/>
      <c r="I64" s="88"/>
      <c r="J64" s="83"/>
      <c r="K64" s="83"/>
      <c r="L64" s="2"/>
      <c r="M64" s="2"/>
      <c r="N64" s="2"/>
      <c r="O64" s="2"/>
      <c r="P64" s="2"/>
      <c r="Q64" s="2"/>
      <c r="R64" s="2"/>
      <c r="S64" s="2"/>
      <c r="T64" s="2"/>
    </row>
    <row r="65" spans="1:20" ht="15" customHeight="1" outlineLevel="2" x14ac:dyDescent="0.25">
      <c r="A65" s="89"/>
      <c r="B65" s="4"/>
      <c r="C65" s="4"/>
      <c r="D65" s="4"/>
      <c r="E65" s="4"/>
      <c r="F65" s="4"/>
      <c r="G65" s="4"/>
      <c r="H65" s="4"/>
      <c r="I65" s="86"/>
      <c r="J65" s="4"/>
      <c r="K65" s="4"/>
      <c r="L65" s="2"/>
      <c r="M65" s="2"/>
      <c r="N65" s="2"/>
      <c r="O65" s="2"/>
      <c r="P65" s="2"/>
      <c r="Q65" s="2"/>
      <c r="R65" s="2"/>
      <c r="S65" s="2"/>
      <c r="T65" s="2"/>
    </row>
    <row r="66" spans="1:20" ht="15" customHeight="1" outlineLevel="2" x14ac:dyDescent="0.25">
      <c r="A66" s="89"/>
      <c r="B66" s="4"/>
      <c r="C66" s="4"/>
      <c r="D66" s="4"/>
      <c r="E66" s="4"/>
      <c r="F66" s="4"/>
      <c r="G66" s="4"/>
      <c r="H66" s="4"/>
      <c r="I66" s="85"/>
      <c r="J66" s="4"/>
      <c r="K66" s="4"/>
      <c r="L66" s="2"/>
      <c r="M66" s="2"/>
      <c r="N66" s="2"/>
      <c r="O66" s="2"/>
      <c r="P66" s="2"/>
      <c r="Q66" s="2"/>
      <c r="R66" s="2"/>
      <c r="S66" s="2"/>
      <c r="T66" s="2"/>
    </row>
    <row r="67" spans="1:20" ht="15" customHeight="1" outlineLevel="1" x14ac:dyDescent="0.25">
      <c r="A67" s="84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2"/>
      <c r="M67" s="2"/>
      <c r="N67" s="2"/>
      <c r="O67" s="2"/>
      <c r="P67" s="2"/>
      <c r="Q67" s="2"/>
      <c r="R67" s="2"/>
      <c r="S67" s="2"/>
      <c r="T67" s="2"/>
    </row>
    <row r="68" spans="1:20" ht="15" customHeight="1" outlineLevel="1" x14ac:dyDescent="0.25">
      <c r="A68" s="84"/>
      <c r="B68" s="4"/>
      <c r="C68" s="4"/>
      <c r="D68" s="4"/>
      <c r="E68" s="4"/>
      <c r="F68" s="4"/>
      <c r="G68" s="4"/>
      <c r="H68" s="4"/>
      <c r="I68" s="4"/>
      <c r="J68" s="4"/>
      <c r="K68" s="4"/>
      <c r="L68" s="2"/>
      <c r="M68" s="2"/>
      <c r="N68" s="2"/>
      <c r="O68" s="2"/>
      <c r="P68" s="2"/>
      <c r="Q68" s="2"/>
      <c r="R68" s="2"/>
      <c r="S68" s="2"/>
      <c r="T68" s="2"/>
    </row>
    <row r="69" spans="1:20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2"/>
      <c r="M69" s="2"/>
      <c r="N69" s="2"/>
      <c r="O69" s="2"/>
      <c r="P69" s="2"/>
      <c r="Q69" s="2"/>
      <c r="R69" s="2"/>
      <c r="S69" s="2"/>
      <c r="T69" s="2"/>
    </row>
    <row r="70" spans="1:20" ht="15" customHeight="1" x14ac:dyDescent="0.3">
      <c r="A70" s="82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2"/>
      <c r="M70" s="2"/>
      <c r="N70" s="2"/>
      <c r="O70" s="2"/>
      <c r="P70" s="2"/>
      <c r="Q70" s="2"/>
      <c r="R70" s="2"/>
      <c r="S70" s="2"/>
      <c r="T70" s="2"/>
    </row>
    <row r="71" spans="1:20" ht="15" customHeight="1" outlineLevel="1" x14ac:dyDescent="0.25">
      <c r="A71" s="84"/>
      <c r="B71" s="95"/>
      <c r="C71" s="4"/>
      <c r="D71" s="95"/>
      <c r="E71" s="4"/>
      <c r="F71" s="96"/>
      <c r="G71" s="96"/>
      <c r="H71" s="96"/>
      <c r="I71" s="96"/>
      <c r="J71" s="96"/>
      <c r="K71" s="96"/>
      <c r="L71" s="2"/>
      <c r="M71" s="2"/>
      <c r="N71" s="2"/>
      <c r="O71" s="2"/>
      <c r="P71" s="2"/>
      <c r="Q71" s="2"/>
      <c r="R71" s="2"/>
      <c r="S71" s="2"/>
      <c r="T71" s="2"/>
    </row>
    <row r="72" spans="1:20" ht="15" customHeight="1" outlineLevel="1" x14ac:dyDescent="0.3">
      <c r="A72" s="87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2"/>
      <c r="M72" s="2"/>
      <c r="N72" s="2"/>
      <c r="O72" s="2"/>
      <c r="P72" s="2"/>
      <c r="Q72" s="2"/>
      <c r="R72" s="2"/>
      <c r="S72" s="2"/>
      <c r="T72" s="2"/>
    </row>
    <row r="73" spans="1:20" ht="15" customHeight="1" outlineLevel="2" x14ac:dyDescent="0.25">
      <c r="A73" s="8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2"/>
      <c r="M73" s="2"/>
      <c r="N73" s="2"/>
      <c r="O73" s="2"/>
      <c r="P73" s="2"/>
      <c r="Q73" s="2"/>
      <c r="R73" s="2"/>
      <c r="S73" s="2"/>
      <c r="T73" s="2"/>
    </row>
    <row r="74" spans="1:20" ht="15" customHeight="1" outlineLevel="2" x14ac:dyDescent="0.25">
      <c r="A74" s="8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2"/>
      <c r="M74" s="2"/>
      <c r="N74" s="2"/>
      <c r="O74" s="2"/>
      <c r="P74" s="2"/>
      <c r="Q74" s="2"/>
      <c r="R74" s="2"/>
      <c r="S74" s="2"/>
      <c r="T74" s="2"/>
    </row>
    <row r="75" spans="1:20" ht="15" customHeight="1" outlineLevel="2" x14ac:dyDescent="0.25">
      <c r="A75" s="89"/>
      <c r="B75" s="96"/>
      <c r="C75" s="95"/>
      <c r="D75" s="96"/>
      <c r="E75" s="96"/>
      <c r="F75" s="96"/>
      <c r="G75" s="96"/>
      <c r="H75" s="96"/>
      <c r="I75" s="95"/>
      <c r="J75" s="95"/>
      <c r="K75" s="4"/>
      <c r="L75" s="2"/>
      <c r="M75" s="2"/>
      <c r="N75" s="2"/>
      <c r="O75" s="2"/>
      <c r="P75" s="2"/>
      <c r="Q75" s="2"/>
      <c r="R75" s="2"/>
      <c r="S75" s="2"/>
      <c r="T75" s="2"/>
    </row>
    <row r="76" spans="1:20" ht="15" customHeight="1" outlineLevel="2" x14ac:dyDescent="0.3">
      <c r="A76" s="90"/>
      <c r="B76" s="82"/>
      <c r="C76" s="94"/>
      <c r="D76" s="94"/>
      <c r="E76" s="94"/>
      <c r="F76" s="94"/>
      <c r="G76" s="94"/>
      <c r="H76" s="82"/>
      <c r="I76" s="94"/>
      <c r="J76" s="94"/>
      <c r="K76" s="94"/>
      <c r="L76" s="2"/>
      <c r="M76" s="2"/>
      <c r="N76" s="2"/>
      <c r="O76" s="2"/>
      <c r="P76" s="2"/>
      <c r="Q76" s="2"/>
      <c r="R76" s="2"/>
      <c r="S76" s="2"/>
      <c r="T76" s="2"/>
    </row>
    <row r="77" spans="1:20" ht="15" customHeight="1" outlineLevel="3" x14ac:dyDescent="0.25">
      <c r="A77" s="91"/>
      <c r="B77" s="95"/>
      <c r="C77" s="4"/>
      <c r="D77" s="95"/>
      <c r="E77" s="4"/>
      <c r="F77" s="4"/>
      <c r="G77" s="4"/>
      <c r="H77" s="4"/>
      <c r="I77" s="4"/>
      <c r="J77" s="4"/>
      <c r="K77" s="4"/>
      <c r="L77" s="2"/>
      <c r="M77" s="2"/>
      <c r="N77" s="2"/>
      <c r="O77" s="2"/>
      <c r="P77" s="2"/>
      <c r="Q77" s="2"/>
      <c r="R77" s="2"/>
      <c r="S77" s="2"/>
      <c r="T77" s="2"/>
    </row>
    <row r="78" spans="1:20" ht="15" customHeight="1" outlineLevel="3" x14ac:dyDescent="0.25">
      <c r="A78" s="91"/>
      <c r="B78" s="4"/>
      <c r="C78" s="95"/>
      <c r="D78" s="95"/>
      <c r="E78" s="96"/>
      <c r="F78" s="4"/>
      <c r="G78" s="4"/>
      <c r="H78" s="4"/>
      <c r="I78" s="4"/>
      <c r="J78" s="4"/>
      <c r="K78" s="4"/>
      <c r="L78" s="2"/>
      <c r="M78" s="2"/>
      <c r="N78" s="2"/>
      <c r="O78" s="2"/>
      <c r="P78" s="2"/>
      <c r="Q78" s="2"/>
      <c r="R78" s="2"/>
      <c r="S78" s="2"/>
      <c r="T78" s="2"/>
    </row>
    <row r="79" spans="1:20" ht="15" customHeight="1" outlineLevel="2" x14ac:dyDescent="0.25">
      <c r="A79" s="89"/>
      <c r="B79" s="95"/>
      <c r="C79" s="96"/>
      <c r="D79" s="95"/>
      <c r="E79" s="4"/>
      <c r="F79" s="95"/>
      <c r="G79" s="96"/>
      <c r="H79" s="4"/>
      <c r="I79" s="96"/>
      <c r="J79" s="95"/>
      <c r="K79" s="96"/>
      <c r="L79" s="2"/>
      <c r="M79" s="2"/>
      <c r="N79" s="2"/>
      <c r="O79" s="2"/>
      <c r="P79" s="2"/>
      <c r="Q79" s="2"/>
      <c r="R79" s="2"/>
      <c r="S79" s="2"/>
      <c r="T79" s="2"/>
    </row>
    <row r="80" spans="1:20" ht="15" customHeight="1" outlineLevel="2" x14ac:dyDescent="0.25">
      <c r="A80" s="89"/>
      <c r="B80" s="95"/>
      <c r="C80" s="96"/>
      <c r="D80" s="96"/>
      <c r="E80" s="95"/>
      <c r="F80" s="95"/>
      <c r="G80" s="4"/>
      <c r="H80" s="4"/>
      <c r="I80" s="4"/>
      <c r="J80" s="4"/>
      <c r="K80" s="4"/>
      <c r="L80" s="2"/>
      <c r="M80" s="2"/>
      <c r="N80" s="2"/>
      <c r="O80" s="2"/>
      <c r="P80" s="2"/>
      <c r="Q80" s="2"/>
      <c r="R80" s="2"/>
      <c r="S80" s="2"/>
      <c r="T80" s="2"/>
    </row>
    <row r="81" spans="1:20" ht="15" customHeight="1" outlineLevel="2" x14ac:dyDescent="0.25">
      <c r="A81" s="89"/>
      <c r="B81" s="4"/>
      <c r="C81" s="4"/>
      <c r="D81" s="4"/>
      <c r="E81" s="4"/>
      <c r="F81" s="4"/>
      <c r="G81" s="4"/>
      <c r="H81" s="4"/>
      <c r="I81" s="4"/>
      <c r="J81" s="4"/>
      <c r="K81" s="4"/>
      <c r="L81" s="2"/>
      <c r="M81" s="2"/>
      <c r="N81" s="2"/>
      <c r="O81" s="2"/>
      <c r="P81" s="2"/>
      <c r="Q81" s="2"/>
      <c r="R81" s="2"/>
      <c r="S81" s="2"/>
      <c r="T81" s="2"/>
    </row>
    <row r="82" spans="1:20" ht="15" customHeight="1" outlineLevel="2" x14ac:dyDescent="0.3">
      <c r="A82" s="90"/>
      <c r="B82" s="94"/>
      <c r="C82" s="94"/>
      <c r="D82" s="94"/>
      <c r="E82" s="94"/>
      <c r="F82" s="94"/>
      <c r="G82" s="94"/>
      <c r="H82" s="94"/>
      <c r="I82" s="94"/>
      <c r="J82" s="82"/>
      <c r="K82" s="94"/>
      <c r="L82" s="2"/>
      <c r="M82" s="2"/>
      <c r="N82" s="2"/>
      <c r="O82" s="2"/>
      <c r="P82" s="2"/>
      <c r="Q82" s="2"/>
      <c r="R82" s="2"/>
      <c r="S82" s="2"/>
      <c r="T82" s="2"/>
    </row>
    <row r="83" spans="1:20" ht="15" customHeight="1" outlineLevel="3" x14ac:dyDescent="0.25">
      <c r="A83" s="91"/>
      <c r="B83" s="96"/>
      <c r="C83" s="95"/>
      <c r="D83" s="96"/>
      <c r="E83" s="95"/>
      <c r="F83" s="96"/>
      <c r="G83" s="95"/>
      <c r="H83" s="96"/>
      <c r="I83" s="95"/>
      <c r="J83" s="96"/>
      <c r="K83" s="95"/>
      <c r="L83" s="2"/>
      <c r="M83" s="2"/>
      <c r="N83" s="2"/>
      <c r="O83" s="2"/>
      <c r="P83" s="2"/>
      <c r="Q83" s="2"/>
      <c r="R83" s="2"/>
      <c r="S83" s="2"/>
      <c r="T83" s="2"/>
    </row>
    <row r="84" spans="1:20" ht="15" customHeight="1" outlineLevel="3" x14ac:dyDescent="0.25">
      <c r="A84" s="91"/>
      <c r="B84" s="96"/>
      <c r="C84" s="96"/>
      <c r="D84" s="95"/>
      <c r="E84" s="95"/>
      <c r="F84" s="95"/>
      <c r="G84" s="95"/>
      <c r="H84" s="96"/>
      <c r="I84" s="95"/>
      <c r="J84" s="95"/>
      <c r="K84" s="95"/>
      <c r="L84" s="2"/>
      <c r="M84" s="2"/>
      <c r="N84" s="2"/>
      <c r="O84" s="2"/>
      <c r="P84" s="2"/>
      <c r="Q84" s="2"/>
      <c r="R84" s="2"/>
      <c r="S84" s="2"/>
      <c r="T84" s="2"/>
    </row>
    <row r="85" spans="1:20" ht="15" customHeight="1" outlineLevel="3" x14ac:dyDescent="0.25">
      <c r="A85" s="91"/>
      <c r="B85" s="95"/>
      <c r="C85" s="95"/>
      <c r="D85" s="95"/>
      <c r="E85" s="96"/>
      <c r="F85" s="96"/>
      <c r="G85" s="96"/>
      <c r="H85" s="95"/>
      <c r="I85" s="96"/>
      <c r="J85" s="96"/>
      <c r="K85" s="95"/>
      <c r="L85" s="2"/>
      <c r="M85" s="2"/>
      <c r="N85" s="2"/>
      <c r="O85" s="2"/>
      <c r="P85" s="2"/>
      <c r="Q85" s="2"/>
      <c r="R85" s="2"/>
      <c r="S85" s="2"/>
      <c r="T85" s="2"/>
    </row>
    <row r="86" spans="1:20" ht="15" customHeight="1" outlineLevel="3" x14ac:dyDescent="0.25">
      <c r="A86" s="91"/>
      <c r="B86" s="95"/>
      <c r="C86" s="95"/>
      <c r="D86" s="95"/>
      <c r="E86" s="96"/>
      <c r="F86" s="96"/>
      <c r="G86" s="95"/>
      <c r="H86" s="96"/>
      <c r="I86" s="95"/>
      <c r="J86" s="4"/>
      <c r="K86" s="95"/>
      <c r="L86" s="2"/>
      <c r="M86" s="2"/>
      <c r="N86" s="2"/>
      <c r="O86" s="2"/>
      <c r="P86" s="2"/>
      <c r="Q86" s="2"/>
      <c r="R86" s="2"/>
      <c r="S86" s="2"/>
      <c r="T86" s="2"/>
    </row>
    <row r="87" spans="1:20" ht="15" customHeight="1" outlineLevel="3" x14ac:dyDescent="0.3">
      <c r="A87" s="92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2"/>
      <c r="M87" s="2"/>
      <c r="N87" s="2"/>
      <c r="O87" s="2"/>
      <c r="P87" s="2"/>
      <c r="Q87" s="2"/>
      <c r="R87" s="2"/>
      <c r="S87" s="2"/>
      <c r="T87" s="2"/>
    </row>
    <row r="88" spans="1:20" ht="15" customHeight="1" outlineLevel="4" x14ac:dyDescent="0.25">
      <c r="A88" s="93"/>
      <c r="B88" s="96"/>
      <c r="C88" s="96"/>
      <c r="D88" s="96"/>
      <c r="E88" s="96"/>
      <c r="F88" s="96"/>
      <c r="G88" s="4"/>
      <c r="H88" s="4"/>
      <c r="I88" s="4"/>
      <c r="J88" s="4"/>
      <c r="K88" s="4"/>
      <c r="L88" s="2"/>
      <c r="M88" s="2"/>
      <c r="N88" s="2"/>
      <c r="O88" s="2"/>
      <c r="P88" s="2"/>
      <c r="Q88" s="2"/>
      <c r="R88" s="2"/>
      <c r="S88" s="2"/>
      <c r="T88" s="2"/>
    </row>
    <row r="89" spans="1:20" ht="15" customHeight="1" outlineLevel="4" x14ac:dyDescent="0.25">
      <c r="A89" s="93"/>
      <c r="B89" s="95"/>
      <c r="C89" s="95"/>
      <c r="D89" s="95"/>
      <c r="E89" s="95"/>
      <c r="F89" s="95"/>
      <c r="G89" s="4"/>
      <c r="H89" s="4"/>
      <c r="I89" s="4"/>
      <c r="J89" s="4"/>
      <c r="K89" s="4"/>
      <c r="L89" s="2"/>
      <c r="M89" s="2"/>
      <c r="N89" s="2"/>
      <c r="O89" s="2"/>
      <c r="P89" s="2"/>
      <c r="Q89" s="2"/>
      <c r="R89" s="2"/>
      <c r="S89" s="2"/>
      <c r="T89" s="2"/>
    </row>
    <row r="90" spans="1:20" ht="15" customHeight="1" x14ac:dyDescent="0.3">
      <c r="A90" s="82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2"/>
      <c r="M90" s="2"/>
      <c r="N90" s="2"/>
      <c r="O90" s="2"/>
      <c r="P90" s="2"/>
      <c r="Q90" s="2"/>
      <c r="R90" s="2"/>
      <c r="S90" s="2"/>
      <c r="T90" s="2"/>
    </row>
    <row r="91" spans="1:20" ht="15" customHeight="1" outlineLevel="1" x14ac:dyDescent="0.3">
      <c r="A91" s="87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2"/>
      <c r="M91" s="2"/>
      <c r="N91" s="2"/>
      <c r="O91" s="2"/>
      <c r="P91" s="2"/>
      <c r="Q91" s="2"/>
      <c r="R91" s="2"/>
      <c r="S91" s="2"/>
      <c r="T91" s="2"/>
    </row>
    <row r="92" spans="1:20" ht="15" customHeight="1" outlineLevel="2" x14ac:dyDescent="0.25">
      <c r="A92" s="89"/>
      <c r="B92" s="4"/>
      <c r="C92" s="4"/>
      <c r="D92" s="4"/>
      <c r="E92" s="4"/>
      <c r="F92" s="4"/>
      <c r="G92" s="4"/>
      <c r="H92" s="95"/>
      <c r="I92" s="95"/>
      <c r="J92" s="95"/>
      <c r="K92" s="95"/>
      <c r="L92" s="2"/>
      <c r="M92" s="2"/>
      <c r="N92" s="2"/>
      <c r="O92" s="2"/>
      <c r="P92" s="2"/>
      <c r="Q92" s="2"/>
      <c r="R92" s="2"/>
      <c r="S92" s="2"/>
      <c r="T92" s="2"/>
    </row>
    <row r="93" spans="1:20" ht="15" customHeight="1" outlineLevel="2" x14ac:dyDescent="0.25">
      <c r="A93" s="89"/>
      <c r="B93" s="4"/>
      <c r="C93" s="4"/>
      <c r="D93" s="4"/>
      <c r="E93" s="4"/>
      <c r="F93" s="4"/>
      <c r="G93" s="4"/>
      <c r="H93" s="96"/>
      <c r="I93" s="96"/>
      <c r="J93" s="96"/>
      <c r="K93" s="96"/>
      <c r="L93" s="2"/>
      <c r="M93" s="2"/>
      <c r="N93" s="2"/>
      <c r="O93" s="2"/>
      <c r="P93" s="2"/>
      <c r="Q93" s="2"/>
      <c r="R93" s="2"/>
      <c r="S93" s="2"/>
      <c r="T93" s="2"/>
    </row>
    <row r="94" spans="1:20" ht="15" customHeight="1" outlineLevel="1" x14ac:dyDescent="0.25">
      <c r="A94" s="84"/>
      <c r="B94" s="95"/>
      <c r="C94" s="96"/>
      <c r="D94" s="95"/>
      <c r="E94" s="96"/>
      <c r="F94" s="96"/>
      <c r="G94" s="95"/>
      <c r="H94" s="96"/>
      <c r="I94" s="95"/>
      <c r="J94" s="96"/>
      <c r="K94" s="96"/>
      <c r="L94" s="2"/>
      <c r="M94" s="2"/>
      <c r="N94" s="2"/>
      <c r="O94" s="2"/>
      <c r="P94" s="2"/>
      <c r="Q94" s="2"/>
      <c r="R94" s="2"/>
      <c r="S94" s="2"/>
      <c r="T94" s="2"/>
    </row>
    <row r="95" spans="1:20" ht="15" customHeight="1" outlineLevel="1" x14ac:dyDescent="0.25">
      <c r="A95" s="84"/>
      <c r="B95" s="95"/>
      <c r="C95" s="95"/>
      <c r="D95" s="96"/>
      <c r="E95" s="95"/>
      <c r="F95" s="96"/>
      <c r="G95" s="96"/>
      <c r="H95" s="95"/>
      <c r="I95" s="96"/>
      <c r="J95" s="96"/>
      <c r="K95" s="96"/>
      <c r="L95" s="2"/>
      <c r="M95" s="2"/>
      <c r="N95" s="2"/>
      <c r="O95" s="2"/>
      <c r="P95" s="2"/>
      <c r="Q95" s="2"/>
      <c r="R95" s="2"/>
      <c r="S95" s="2"/>
      <c r="T95" s="2"/>
    </row>
    <row r="96" spans="1:20" ht="15" customHeight="1" outlineLevel="1" x14ac:dyDescent="0.25">
      <c r="A96" s="84"/>
      <c r="B96" s="96"/>
      <c r="C96" s="96"/>
      <c r="D96" s="96"/>
      <c r="E96" s="95"/>
      <c r="F96" s="95"/>
      <c r="G96" s="95"/>
      <c r="H96" s="96"/>
      <c r="I96" s="95"/>
      <c r="J96" s="95"/>
      <c r="K96" s="96"/>
      <c r="L96" s="2"/>
      <c r="M96" s="2"/>
      <c r="N96" s="2"/>
      <c r="O96" s="2"/>
      <c r="P96" s="2"/>
      <c r="Q96" s="2"/>
      <c r="R96" s="2"/>
      <c r="S96" s="2"/>
      <c r="T96" s="2"/>
    </row>
    <row r="97" spans="1:20" ht="15" customHeight="1" x14ac:dyDescent="0.3">
      <c r="A97" s="82"/>
      <c r="B97" s="82"/>
      <c r="C97" s="94"/>
      <c r="D97" s="82"/>
      <c r="E97" s="94"/>
      <c r="F97" s="94"/>
      <c r="G97" s="82"/>
      <c r="H97" s="94"/>
      <c r="I97" s="94"/>
      <c r="J97" s="94"/>
      <c r="K97" s="82"/>
      <c r="L97" s="2"/>
      <c r="M97" s="2"/>
      <c r="N97" s="2"/>
      <c r="O97" s="2"/>
      <c r="P97" s="2"/>
      <c r="Q97" s="2"/>
      <c r="R97" s="2"/>
      <c r="S97" s="2"/>
      <c r="T97" s="2"/>
    </row>
    <row r="98" spans="1:20" ht="15" customHeight="1" outlineLevel="1" x14ac:dyDescent="0.25">
      <c r="A98" s="84"/>
      <c r="B98" s="96"/>
      <c r="C98" s="95"/>
      <c r="D98" s="95"/>
      <c r="E98" s="96"/>
      <c r="F98" s="96"/>
      <c r="G98" s="4"/>
      <c r="H98" s="4"/>
      <c r="I98" s="4"/>
      <c r="J98" s="4"/>
      <c r="K98" s="4"/>
      <c r="L98" s="2"/>
      <c r="M98" s="2"/>
      <c r="N98" s="2"/>
      <c r="O98" s="2"/>
      <c r="P98" s="2"/>
      <c r="Q98" s="2"/>
      <c r="R98" s="2"/>
      <c r="S98" s="2"/>
      <c r="T98" s="2"/>
    </row>
    <row r="99" spans="1:20" ht="15" customHeight="1" outlineLevel="1" x14ac:dyDescent="0.25">
      <c r="A99" s="84"/>
      <c r="B99" s="95"/>
      <c r="C99" s="4"/>
      <c r="D99" s="4"/>
      <c r="E99" s="4"/>
      <c r="F99" s="4"/>
      <c r="G99" s="4"/>
      <c r="H99" s="4"/>
      <c r="I99" s="4"/>
      <c r="J99" s="4"/>
      <c r="K99" s="4"/>
      <c r="L99" s="2"/>
      <c r="M99" s="2"/>
      <c r="N99" s="2"/>
      <c r="O99" s="2"/>
      <c r="P99" s="2"/>
      <c r="Q99" s="2"/>
      <c r="R99" s="2"/>
      <c r="S99" s="2"/>
      <c r="T99" s="2"/>
    </row>
    <row r="100" spans="1:20" ht="15" customHeight="1" outlineLevel="1" x14ac:dyDescent="0.3">
      <c r="A100" s="87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customHeight="1" outlineLevel="2" x14ac:dyDescent="0.25">
      <c r="A101" s="8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customHeight="1" outlineLevel="2" x14ac:dyDescent="0.25">
      <c r="A102" s="89"/>
      <c r="B102" s="4"/>
      <c r="C102" s="4"/>
      <c r="D102" s="4"/>
      <c r="E102" s="4"/>
      <c r="F102" s="4"/>
      <c r="G102" s="4"/>
      <c r="H102" s="4"/>
      <c r="I102" s="4"/>
      <c r="J102" s="4"/>
      <c r="K102" s="96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customHeight="1" outlineLevel="2" x14ac:dyDescent="0.25">
      <c r="A103" s="89"/>
      <c r="B103" s="4"/>
      <c r="C103" s="4"/>
      <c r="D103" s="4"/>
      <c r="E103" s="4"/>
      <c r="F103" s="4"/>
      <c r="G103" s="4"/>
      <c r="H103" s="4"/>
      <c r="I103" s="4"/>
      <c r="J103" s="4"/>
      <c r="K103" s="96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customHeight="1" outlineLevel="1" x14ac:dyDescent="0.3">
      <c r="A104" s="87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customHeight="1" outlineLevel="2" x14ac:dyDescent="0.3">
      <c r="A105" s="90"/>
      <c r="B105" s="82"/>
      <c r="C105" s="82"/>
      <c r="D105" s="82"/>
      <c r="E105" s="94"/>
      <c r="F105" s="94"/>
      <c r="G105" s="94"/>
      <c r="H105" s="94"/>
      <c r="I105" s="94"/>
      <c r="J105" s="94"/>
      <c r="K105" s="94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customHeight="1" outlineLevel="3" x14ac:dyDescent="0.25">
      <c r="A106" s="91"/>
      <c r="B106" s="4"/>
      <c r="C106" s="4"/>
      <c r="D106" s="4"/>
      <c r="E106" s="4"/>
      <c r="F106" s="4"/>
      <c r="G106" s="4"/>
      <c r="H106" s="4"/>
      <c r="I106" s="4"/>
      <c r="J106" s="4"/>
      <c r="K106" s="95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customHeight="1" outlineLevel="3" x14ac:dyDescent="0.25">
      <c r="A107" s="91"/>
      <c r="B107" s="4"/>
      <c r="C107" s="4"/>
      <c r="D107" s="4"/>
      <c r="E107" s="4"/>
      <c r="F107" s="4"/>
      <c r="G107" s="4"/>
      <c r="H107" s="4"/>
      <c r="I107" s="4"/>
      <c r="J107" s="4"/>
      <c r="K107" s="95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customHeight="1" outlineLevel="2" x14ac:dyDescent="0.25">
      <c r="A108" s="89"/>
      <c r="B108" s="4"/>
      <c r="C108" s="4"/>
      <c r="D108" s="4"/>
      <c r="E108" s="95"/>
      <c r="F108" s="95"/>
      <c r="G108" s="95"/>
      <c r="H108" s="95"/>
      <c r="I108" s="95"/>
      <c r="J108" s="95"/>
      <c r="K108" s="95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customHeight="1" outlineLevel="2" x14ac:dyDescent="0.25">
      <c r="A109" s="89"/>
      <c r="B109" s="4"/>
      <c r="C109" s="4"/>
      <c r="D109" s="4"/>
      <c r="E109" s="96"/>
      <c r="F109" s="95"/>
      <c r="G109" s="95"/>
      <c r="H109" s="95"/>
      <c r="I109" s="96"/>
      <c r="J109" s="95"/>
      <c r="K109" s="95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customHeight="1" x14ac:dyDescent="0.25">
      <c r="A110" s="4"/>
      <c r="B110" s="95"/>
      <c r="C110" s="95"/>
      <c r="D110" s="95"/>
      <c r="E110" s="95"/>
      <c r="F110" s="96"/>
      <c r="G110" s="4"/>
      <c r="H110" s="95"/>
      <c r="I110" s="4"/>
      <c r="J110" s="96"/>
      <c r="K110" s="95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customHeight="1" x14ac:dyDescent="0.25">
      <c r="A111" s="4"/>
      <c r="B111" s="96"/>
      <c r="C111" s="95"/>
      <c r="D111" s="96"/>
      <c r="E111" s="95"/>
      <c r="F111" s="96"/>
      <c r="G111" s="95"/>
      <c r="H111" s="96"/>
      <c r="I111" s="95"/>
      <c r="J111" s="96"/>
      <c r="K111" s="95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customHeight="1" x14ac:dyDescent="0.25">
      <c r="A112" s="4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customHeight="1" x14ac:dyDescent="0.25">
      <c r="A113" s="4"/>
      <c r="B113" s="96"/>
      <c r="C113" s="96"/>
      <c r="D113" s="96"/>
      <c r="E113" s="96"/>
      <c r="F113" s="96"/>
      <c r="G113" s="96"/>
      <c r="H113" s="96"/>
      <c r="I113" s="96"/>
      <c r="J113" s="96"/>
      <c r="K113" s="95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customHeight="1" x14ac:dyDescent="0.3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customHeight="1" outlineLevel="1" x14ac:dyDescent="0.25">
      <c r="A115" s="84"/>
      <c r="B115" s="95"/>
      <c r="C115" s="95"/>
      <c r="D115" s="96"/>
      <c r="E115" s="95"/>
      <c r="F115" s="96"/>
      <c r="G115" s="95"/>
      <c r="H115" s="95"/>
      <c r="I115" s="95"/>
      <c r="J115" s="95"/>
      <c r="K115" s="95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customHeight="1" outlineLevel="1" x14ac:dyDescent="0.25">
      <c r="A116" s="84"/>
      <c r="B116" s="4"/>
      <c r="C116" s="4"/>
      <c r="D116" s="4"/>
      <c r="E116" s="4"/>
      <c r="F116" s="4"/>
      <c r="G116" s="4"/>
      <c r="H116" s="4"/>
      <c r="I116" s="4"/>
      <c r="J116" s="95"/>
      <c r="K116" s="95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customHeight="1" outlineLevel="1" x14ac:dyDescent="0.3">
      <c r="A117" s="87"/>
      <c r="B117" s="82"/>
      <c r="C117" s="82"/>
      <c r="D117" s="82"/>
      <c r="E117" s="82"/>
      <c r="F117" s="94"/>
      <c r="G117" s="94"/>
      <c r="H117" s="94"/>
      <c r="I117" s="94"/>
      <c r="J117" s="94"/>
      <c r="K117" s="94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customHeight="1" outlineLevel="2" x14ac:dyDescent="0.3">
      <c r="A118" s="90"/>
      <c r="B118" s="82"/>
      <c r="C118" s="82"/>
      <c r="D118" s="82"/>
      <c r="E118" s="82"/>
      <c r="F118" s="82"/>
      <c r="G118" s="82"/>
      <c r="H118" s="82"/>
      <c r="I118" s="82"/>
      <c r="J118" s="94"/>
      <c r="K118" s="94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customHeight="1" outlineLevel="3" x14ac:dyDescent="0.25">
      <c r="A119" s="9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customHeight="1" outlineLevel="3" x14ac:dyDescent="0.25">
      <c r="A120" s="9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customHeight="1" outlineLevel="2" x14ac:dyDescent="0.25">
      <c r="A121" s="89"/>
      <c r="B121" s="4"/>
      <c r="C121" s="4"/>
      <c r="D121" s="4"/>
      <c r="E121" s="4"/>
      <c r="F121" s="4"/>
      <c r="G121" s="4"/>
      <c r="H121" s="4"/>
      <c r="I121" s="4"/>
      <c r="J121" s="95"/>
      <c r="K121" s="95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customHeight="1" outlineLevel="1" x14ac:dyDescent="0.25">
      <c r="A122" s="84"/>
      <c r="B122" s="95"/>
      <c r="C122" s="95"/>
      <c r="D122" s="95"/>
      <c r="E122" s="95"/>
      <c r="F122" s="95"/>
      <c r="G122" s="95"/>
      <c r="H122" s="95"/>
      <c r="I122" s="96"/>
      <c r="J122" s="95"/>
      <c r="K122" s="95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customHeight="1" outlineLevel="1" x14ac:dyDescent="0.25">
      <c r="A123" s="84"/>
      <c r="B123" s="4"/>
      <c r="C123" s="4"/>
      <c r="D123" s="4"/>
      <c r="E123" s="4"/>
      <c r="F123" s="4"/>
      <c r="G123" s="4"/>
      <c r="H123" s="4"/>
      <c r="I123" s="4"/>
      <c r="J123" s="95"/>
      <c r="K123" s="95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customHeight="1" outlineLevel="1" x14ac:dyDescent="0.3">
      <c r="A124" s="87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customHeight="1" outlineLevel="2" x14ac:dyDescent="0.25">
      <c r="A125" s="8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customHeight="1" outlineLevel="2" x14ac:dyDescent="0.25">
      <c r="A126" s="8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customHeight="1" outlineLevel="1" x14ac:dyDescent="0.25">
      <c r="A127" s="84"/>
      <c r="B127" s="96"/>
      <c r="C127" s="95"/>
      <c r="D127" s="95"/>
      <c r="E127" s="96"/>
      <c r="F127" s="95"/>
      <c r="G127" s="95"/>
      <c r="H127" s="95"/>
      <c r="I127" s="96"/>
      <c r="J127" s="95"/>
      <c r="K127" s="95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customHeight="1" outlineLevel="1" x14ac:dyDescent="0.25">
      <c r="A128" s="8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customHeight="1" x14ac:dyDescent="0.25">
      <c r="A129" s="9"/>
      <c r="L129" s="2"/>
      <c r="M129" s="2"/>
      <c r="N129" s="2"/>
      <c r="O129" s="2"/>
      <c r="P129" s="2"/>
      <c r="Q129" s="2"/>
      <c r="R129" s="2"/>
      <c r="S129" s="2"/>
      <c r="T129" s="2"/>
    </row>
  </sheetData>
  <phoneticPr fontId="25" type="noConversion"/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56F4-DF20-400D-BFD2-7D41E244DC06}">
  <dimension ref="A1:K16"/>
  <sheetViews>
    <sheetView zoomScale="99" workbookViewId="0">
      <selection sqref="A1:G10"/>
    </sheetView>
  </sheetViews>
  <sheetFormatPr baseColWidth="10" defaultRowHeight="14.5" x14ac:dyDescent="0.35"/>
  <cols>
    <col min="2" max="2" width="14.08984375" customWidth="1"/>
    <col min="3" max="3" width="16.81640625" bestFit="1" customWidth="1"/>
    <col min="4" max="4" width="18" customWidth="1"/>
    <col min="5" max="5" width="18.90625" customWidth="1"/>
    <col min="6" max="6" width="25" customWidth="1"/>
    <col min="7" max="7" width="15.26953125" customWidth="1"/>
    <col min="10" max="10" width="11.08984375" customWidth="1"/>
    <col min="11" max="11" width="13.08984375" customWidth="1"/>
  </cols>
  <sheetData>
    <row r="1" spans="1:11" ht="15" thickBot="1" x14ac:dyDescent="0.4"/>
    <row r="2" spans="1:11" ht="15" thickBot="1" x14ac:dyDescent="0.4">
      <c r="A2" s="106" t="s">
        <v>143</v>
      </c>
      <c r="B2" s="106"/>
    </row>
    <row r="3" spans="1:11" ht="15" thickBot="1" x14ac:dyDescent="0.4">
      <c r="C3" s="105">
        <v>2027</v>
      </c>
      <c r="D3" s="105">
        <v>2028</v>
      </c>
      <c r="E3" s="105">
        <v>2029</v>
      </c>
      <c r="F3" s="105">
        <v>2030</v>
      </c>
      <c r="G3" s="105">
        <v>2031</v>
      </c>
    </row>
    <row r="4" spans="1:11" x14ac:dyDescent="0.35">
      <c r="B4" s="107" t="s">
        <v>144</v>
      </c>
      <c r="C4" s="110">
        <v>30</v>
      </c>
      <c r="D4" s="110">
        <f>C4+($F$4-$C$4)*(D$3-$C$3)/($F$3-$C$3)</f>
        <v>36.666666666666664</v>
      </c>
      <c r="E4" s="110">
        <f>C4+($F$4-$C$4)*(E$3-$C$3)/($F$3-$C$3)</f>
        <v>43.333333333333336</v>
      </c>
      <c r="F4" s="110">
        <v>50</v>
      </c>
      <c r="G4" s="110">
        <v>50</v>
      </c>
      <c r="J4" s="28" t="s">
        <v>146</v>
      </c>
    </row>
    <row r="5" spans="1:11" x14ac:dyDescent="0.35">
      <c r="B5" s="108" t="s">
        <v>145</v>
      </c>
      <c r="C5" s="121">
        <f>(C4*1000000)/365</f>
        <v>82191.780821917811</v>
      </c>
      <c r="D5" s="121">
        <f>(D4*1000000)/365</f>
        <v>100456.6210045662</v>
      </c>
      <c r="E5" s="121">
        <f>(E4*1000000)/365</f>
        <v>118721.46118721462</v>
      </c>
      <c r="F5" s="121">
        <f>(F4*1000000)/365</f>
        <v>136986.30136986301</v>
      </c>
      <c r="G5" s="121">
        <f>(G4*1000000)/365</f>
        <v>136986.30136986301</v>
      </c>
    </row>
    <row r="6" spans="1:11" x14ac:dyDescent="0.35">
      <c r="B6" s="108" t="s">
        <v>147</v>
      </c>
      <c r="C6" s="121">
        <f>C5*7.33</f>
        <v>602465.75342465751</v>
      </c>
      <c r="D6" s="121">
        <f>D5*7.33</f>
        <v>736347.03196347028</v>
      </c>
      <c r="E6" s="121">
        <f>E5*7.33</f>
        <v>870228.31050228316</v>
      </c>
      <c r="F6" s="121">
        <f>F5*7.33</f>
        <v>1004109.5890410959</v>
      </c>
      <c r="G6" s="121">
        <f>G5*7.33</f>
        <v>1004109.5890410959</v>
      </c>
    </row>
    <row r="7" spans="1:11" ht="15" thickBot="1" x14ac:dyDescent="0.4">
      <c r="B7" s="109" t="s">
        <v>149</v>
      </c>
      <c r="C7" s="110">
        <f>Oil_assumptions!C8</f>
        <v>79.477083333333326</v>
      </c>
      <c r="D7" s="110">
        <f>Oil_assumptions!D8</f>
        <v>70.232916666666654</v>
      </c>
      <c r="E7" s="110">
        <f>Oil_assumptions!E8</f>
        <v>67.498999999999995</v>
      </c>
      <c r="F7" s="110">
        <f>Oil_assumptions!F8</f>
        <v>66.305000000000007</v>
      </c>
      <c r="G7" s="110">
        <f>F7</f>
        <v>66.305000000000007</v>
      </c>
    </row>
    <row r="8" spans="1:11" ht="15" thickBot="1" x14ac:dyDescent="0.4">
      <c r="B8" s="109" t="s">
        <v>148</v>
      </c>
      <c r="C8" s="110">
        <f>C6*C7*365/10^9</f>
        <v>17.477010624999995</v>
      </c>
      <c r="D8" s="110">
        <f t="shared" ref="D8:F8" si="0">D6*D7*365/10^9</f>
        <v>18.876266902777775</v>
      </c>
      <c r="E8" s="110">
        <f t="shared" si="0"/>
        <v>21.439932366666667</v>
      </c>
      <c r="F8" s="110">
        <f t="shared" si="0"/>
        <v>24.300782500000004</v>
      </c>
      <c r="G8" s="110">
        <f t="shared" ref="G8" si="1">G6*G7*365/10^9</f>
        <v>24.300782500000004</v>
      </c>
      <c r="J8" t="e" vm="1">
        <v>#VALUE!</v>
      </c>
      <c r="K8" s="113">
        <f ca="1">FX_Data!A2</f>
        <v>84.995500000000007</v>
      </c>
    </row>
    <row r="9" spans="1:11" x14ac:dyDescent="0.35">
      <c r="B9" s="108" t="s">
        <v>158</v>
      </c>
      <c r="C9" s="122">
        <f ca="1">C8*K8</f>
        <v>1485.4672565771871</v>
      </c>
      <c r="D9" s="122">
        <f ca="1">D8*K8</f>
        <v>1604.3977435350484</v>
      </c>
      <c r="E9" s="122">
        <f ca="1">E8*K8</f>
        <v>1822.2977714710169</v>
      </c>
      <c r="F9" s="122">
        <f ca="1">F8*K8</f>
        <v>2065.4571589787506</v>
      </c>
      <c r="G9" s="122">
        <f ca="1">G8*K8</f>
        <v>2065.4571589787506</v>
      </c>
    </row>
    <row r="10" spans="1:11" x14ac:dyDescent="0.35">
      <c r="B10" s="110"/>
      <c r="C10" s="110"/>
      <c r="D10" s="110"/>
      <c r="E10" s="110"/>
      <c r="F10" s="110"/>
      <c r="G10" s="110"/>
    </row>
    <row r="12" spans="1:11" x14ac:dyDescent="0.35">
      <c r="C12" s="111"/>
    </row>
    <row r="13" spans="1:11" x14ac:dyDescent="0.35">
      <c r="E13" s="111"/>
    </row>
    <row r="16" spans="1:11" x14ac:dyDescent="0.35">
      <c r="E16" s="111"/>
    </row>
  </sheetData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A387-BF4A-4695-8A79-48ED278831E0}">
  <dimension ref="A1:F32"/>
  <sheetViews>
    <sheetView topLeftCell="A16" workbookViewId="0">
      <selection activeCell="C14" sqref="C14"/>
    </sheetView>
  </sheetViews>
  <sheetFormatPr baseColWidth="10" defaultRowHeight="14.5" x14ac:dyDescent="0.35"/>
  <cols>
    <col min="1" max="1" width="47.7265625" customWidth="1"/>
  </cols>
  <sheetData>
    <row r="1" spans="1:6" ht="18.5" x14ac:dyDescent="0.45">
      <c r="A1" s="97" t="s">
        <v>190</v>
      </c>
    </row>
    <row r="3" spans="1:6" x14ac:dyDescent="0.35">
      <c r="A3" s="129"/>
    </row>
    <row r="5" spans="1:6" x14ac:dyDescent="0.35">
      <c r="A5" s="130"/>
      <c r="B5" s="131"/>
      <c r="C5" s="130"/>
    </row>
    <row r="6" spans="1:6" x14ac:dyDescent="0.35">
      <c r="A6" s="132" t="s">
        <v>162</v>
      </c>
      <c r="B6" s="132" t="s">
        <v>163</v>
      </c>
      <c r="C6" s="132">
        <v>2027</v>
      </c>
      <c r="D6" s="132">
        <v>2028</v>
      </c>
      <c r="E6" s="132">
        <v>2029</v>
      </c>
      <c r="F6" s="132">
        <v>2030</v>
      </c>
    </row>
    <row r="7" spans="1:6" x14ac:dyDescent="0.35">
      <c r="A7" t="s">
        <v>164</v>
      </c>
      <c r="B7" t="s">
        <v>165</v>
      </c>
      <c r="C7" s="133">
        <v>70</v>
      </c>
      <c r="D7" s="133">
        <v>62</v>
      </c>
      <c r="E7" s="133">
        <v>60</v>
      </c>
      <c r="F7" s="133">
        <v>60</v>
      </c>
    </row>
    <row r="8" spans="1:6" x14ac:dyDescent="0.35">
      <c r="A8" t="s">
        <v>166</v>
      </c>
      <c r="B8" t="s">
        <v>165</v>
      </c>
      <c r="C8" s="134">
        <f>C16*C12+(1-C16)*C13</f>
        <v>79.477083333333326</v>
      </c>
      <c r="D8" s="134">
        <f>D16*D12+(1-D16)*D13</f>
        <v>70.232916666666654</v>
      </c>
      <c r="E8" s="134">
        <f>E16*E12+(1-E16)*E13</f>
        <v>67.498999999999995</v>
      </c>
      <c r="F8" s="134">
        <f>F16*F12+(1-F16)*F13</f>
        <v>66.305000000000007</v>
      </c>
    </row>
    <row r="9" spans="1:6" x14ac:dyDescent="0.35">
      <c r="A9" t="s">
        <v>167</v>
      </c>
      <c r="B9" t="s">
        <v>165</v>
      </c>
      <c r="C9" s="134">
        <f>C12</f>
        <v>85.214166666666657</v>
      </c>
      <c r="D9" s="134">
        <f>D12</f>
        <v>75.465833333333322</v>
      </c>
      <c r="E9" s="134">
        <f>E12</f>
        <v>72.14</v>
      </c>
      <c r="F9" s="134">
        <f>F12</f>
        <v>70.22</v>
      </c>
    </row>
    <row r="11" spans="1:6" x14ac:dyDescent="0.35">
      <c r="A11" s="130" t="s">
        <v>168</v>
      </c>
    </row>
    <row r="12" spans="1:6" x14ac:dyDescent="0.35">
      <c r="A12" t="s">
        <v>169</v>
      </c>
      <c r="B12" t="s">
        <v>165</v>
      </c>
      <c r="C12" s="134">
        <f>[3]Brent_Futures!F5</f>
        <v>85.214166666666657</v>
      </c>
      <c r="D12" s="134">
        <f>[3]Brent_Futures!F6</f>
        <v>75.465833333333322</v>
      </c>
      <c r="E12" s="134">
        <f>[3]Brent_Futures!F7</f>
        <v>72.14</v>
      </c>
      <c r="F12" s="134">
        <f>[3]Brent_Futures!F8</f>
        <v>70.22</v>
      </c>
    </row>
    <row r="13" spans="1:6" x14ac:dyDescent="0.35">
      <c r="A13" t="s">
        <v>170</v>
      </c>
      <c r="B13" t="s">
        <v>165</v>
      </c>
      <c r="C13" s="134">
        <f>C15</f>
        <v>73.739999999999995</v>
      </c>
      <c r="D13" s="134">
        <f>$C$14</f>
        <v>65</v>
      </c>
      <c r="E13" s="134">
        <f>$C$14</f>
        <v>65</v>
      </c>
      <c r="F13" s="134">
        <f>$C$14</f>
        <v>65</v>
      </c>
    </row>
    <row r="14" spans="1:6" x14ac:dyDescent="0.35">
      <c r="A14" t="s">
        <v>171</v>
      </c>
      <c r="B14" t="s">
        <v>165</v>
      </c>
      <c r="C14" s="133">
        <v>65</v>
      </c>
      <c r="D14" s="134"/>
      <c r="E14" s="134"/>
      <c r="F14" s="134"/>
    </row>
    <row r="15" spans="1:6" x14ac:dyDescent="0.35">
      <c r="A15" t="s">
        <v>172</v>
      </c>
      <c r="B15" t="s">
        <v>165</v>
      </c>
      <c r="C15" s="133">
        <v>73.739999999999995</v>
      </c>
      <c r="D15" s="134"/>
      <c r="E15" s="134"/>
      <c r="F15" s="134"/>
    </row>
    <row r="16" spans="1:6" x14ac:dyDescent="0.35">
      <c r="A16" t="s">
        <v>173</v>
      </c>
      <c r="B16" t="s">
        <v>174</v>
      </c>
      <c r="C16" s="135">
        <v>0.5</v>
      </c>
      <c r="D16" s="135">
        <v>0.5</v>
      </c>
      <c r="E16" s="135">
        <v>0.35</v>
      </c>
      <c r="F16" s="135">
        <v>0.25</v>
      </c>
    </row>
    <row r="18" spans="1:6" x14ac:dyDescent="0.35">
      <c r="A18" s="132" t="s">
        <v>175</v>
      </c>
      <c r="B18" s="132" t="s">
        <v>163</v>
      </c>
      <c r="C18" s="132">
        <v>2027</v>
      </c>
      <c r="D18" s="132">
        <v>2028</v>
      </c>
      <c r="E18" s="132">
        <v>2029</v>
      </c>
      <c r="F18" s="132">
        <v>2030</v>
      </c>
    </row>
    <row r="19" spans="1:6" x14ac:dyDescent="0.35">
      <c r="A19" t="s">
        <v>176</v>
      </c>
      <c r="B19" t="s">
        <v>165</v>
      </c>
      <c r="C19" s="133">
        <v>14</v>
      </c>
      <c r="D19" s="133">
        <v>15</v>
      </c>
      <c r="E19" s="133">
        <v>15</v>
      </c>
      <c r="F19" s="133">
        <v>15</v>
      </c>
    </row>
    <row r="20" spans="1:6" x14ac:dyDescent="0.35">
      <c r="A20" t="s">
        <v>177</v>
      </c>
      <c r="B20" t="s">
        <v>165</v>
      </c>
      <c r="C20" s="133">
        <v>8</v>
      </c>
      <c r="D20" s="133">
        <v>10</v>
      </c>
      <c r="E20" s="133">
        <v>11</v>
      </c>
      <c r="F20" s="133">
        <v>12</v>
      </c>
    </row>
    <row r="21" spans="1:6" x14ac:dyDescent="0.35">
      <c r="A21" t="s">
        <v>178</v>
      </c>
      <c r="B21" t="s">
        <v>165</v>
      </c>
      <c r="C21" s="133">
        <v>5</v>
      </c>
      <c r="D21" s="133">
        <v>6</v>
      </c>
      <c r="E21" s="133">
        <v>7</v>
      </c>
      <c r="F21" s="133">
        <v>8</v>
      </c>
    </row>
    <row r="23" spans="1:6" x14ac:dyDescent="0.35">
      <c r="A23" s="132" t="s">
        <v>179</v>
      </c>
      <c r="B23" s="132" t="s">
        <v>163</v>
      </c>
      <c r="C23" s="132">
        <v>2027</v>
      </c>
      <c r="D23" s="132">
        <v>2028</v>
      </c>
      <c r="E23" s="132">
        <v>2029</v>
      </c>
      <c r="F23" s="132">
        <v>2030</v>
      </c>
    </row>
    <row r="24" spans="1:6" x14ac:dyDescent="0.35">
      <c r="A24" t="s">
        <v>180</v>
      </c>
      <c r="B24" t="s">
        <v>181</v>
      </c>
      <c r="C24" s="133">
        <v>87.4</v>
      </c>
      <c r="D24" s="133">
        <v>92</v>
      </c>
      <c r="E24" s="133">
        <v>96</v>
      </c>
      <c r="F24" s="133">
        <v>100</v>
      </c>
    </row>
    <row r="26" spans="1:6" x14ac:dyDescent="0.35">
      <c r="A26" s="132" t="s">
        <v>182</v>
      </c>
      <c r="B26" s="132" t="s">
        <v>163</v>
      </c>
      <c r="C26" s="132">
        <v>2027</v>
      </c>
      <c r="D26" s="132">
        <v>2028</v>
      </c>
      <c r="E26" s="132">
        <v>2029</v>
      </c>
      <c r="F26" s="132">
        <v>2030</v>
      </c>
    </row>
    <row r="27" spans="1:6" x14ac:dyDescent="0.35">
      <c r="A27" t="s">
        <v>183</v>
      </c>
      <c r="B27" t="s">
        <v>165</v>
      </c>
      <c r="C27" s="134" t="e">
        <f>CHOOSE($B$5,C7,C8,C9)</f>
        <v>#VALUE!</v>
      </c>
      <c r="D27" s="134" t="e">
        <f>CHOOSE($B$5,D7,D8,D9)</f>
        <v>#VALUE!</v>
      </c>
      <c r="E27" s="134" t="e">
        <f>CHOOSE($B$5,E7,E8,E9)</f>
        <v>#VALUE!</v>
      </c>
      <c r="F27" s="134" t="e">
        <f>CHOOSE($B$5,F7,F8,F9)</f>
        <v>#VALUE!</v>
      </c>
    </row>
    <row r="28" spans="1:6" x14ac:dyDescent="0.35">
      <c r="A28" t="s">
        <v>184</v>
      </c>
      <c r="B28" t="s">
        <v>165</v>
      </c>
      <c r="C28" s="134" t="e">
        <f>CHOOSE($B$5,C19,C20,C21)</f>
        <v>#VALUE!</v>
      </c>
      <c r="D28" s="134" t="e">
        <f>CHOOSE($B$5,D19,D20,D21)</f>
        <v>#VALUE!</v>
      </c>
      <c r="E28" s="134" t="e">
        <f>CHOOSE($B$5,E19,E20,E21)</f>
        <v>#VALUE!</v>
      </c>
      <c r="F28" s="134" t="e">
        <f>CHOOSE($B$5,F19,F20,F21)</f>
        <v>#VALUE!</v>
      </c>
    </row>
    <row r="29" spans="1:6" x14ac:dyDescent="0.35">
      <c r="A29" s="130" t="s">
        <v>185</v>
      </c>
      <c r="B29" t="s">
        <v>165</v>
      </c>
      <c r="C29" s="136" t="e">
        <f>C27-C28</f>
        <v>#VALUE!</v>
      </c>
      <c r="D29" s="136" t="e">
        <f>D27-D28</f>
        <v>#VALUE!</v>
      </c>
      <c r="E29" s="136" t="e">
        <f>E27-E28</f>
        <v>#VALUE!</v>
      </c>
      <c r="F29" s="136" t="e">
        <f>F27-F28</f>
        <v>#VALUE!</v>
      </c>
    </row>
    <row r="30" spans="1:6" x14ac:dyDescent="0.35">
      <c r="A30" t="s">
        <v>186</v>
      </c>
      <c r="B30" t="s">
        <v>181</v>
      </c>
      <c r="C30" s="134">
        <f>C24</f>
        <v>87.4</v>
      </c>
      <c r="D30" s="134">
        <f>D24</f>
        <v>92</v>
      </c>
      <c r="E30" s="134">
        <f>E24</f>
        <v>96</v>
      </c>
      <c r="F30" s="134">
        <f>F24</f>
        <v>100</v>
      </c>
    </row>
    <row r="31" spans="1:6" x14ac:dyDescent="0.35">
      <c r="A31" s="130" t="s">
        <v>187</v>
      </c>
      <c r="B31" t="s">
        <v>188</v>
      </c>
      <c r="C31" s="136" t="e">
        <f>C29*C30</f>
        <v>#VALUE!</v>
      </c>
      <c r="D31" s="136" t="e">
        <f>D29*D30</f>
        <v>#VALUE!</v>
      </c>
      <c r="E31" s="136" t="e">
        <f>E29*E30</f>
        <v>#VALUE!</v>
      </c>
      <c r="F31" s="136" t="e">
        <f>F29*F30</f>
        <v>#VALUE!</v>
      </c>
    </row>
    <row r="32" spans="1:6" x14ac:dyDescent="0.35">
      <c r="A32" t="s">
        <v>189</v>
      </c>
      <c r="B32" t="s">
        <v>174</v>
      </c>
      <c r="D32" s="35" t="e">
        <f>D31/C31-1</f>
        <v>#VALUE!</v>
      </c>
      <c r="E32" s="35" t="e">
        <f>E31/D31-1</f>
        <v>#VALUE!</v>
      </c>
      <c r="F32" s="35" t="e">
        <f>F31/E31-1</f>
        <v>#VALUE!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429C8-E284-415D-86ED-CEB3F06D1A9C}">
  <dimension ref="A1:A2"/>
  <sheetViews>
    <sheetView workbookViewId="0"/>
  </sheetViews>
  <sheetFormatPr baseColWidth="10" defaultRowHeight="14.5" x14ac:dyDescent="0.35"/>
  <sheetData>
    <row r="1" spans="1:1" x14ac:dyDescent="0.35">
      <c r="A1" t="e" vm="1">
        <v>#VALUE!</v>
      </c>
    </row>
    <row r="2" spans="1:1" x14ac:dyDescent="0.35">
      <c r="A2" s="112" cm="1">
        <f t="array" aca="1" ref="A2" ca="1">_FV(A1,"Price")</f>
        <v>84.995500000000007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FdsFormulaCache xmlns="urn:fdsformulacache" version="2" timestamp="1658677764"><![CDATA[{"AMZN^FE_ESTIMATE(DEP_AMORT_EXP,MEAN,ANN_ROLL,2022,NOW,,,'')":38716.438,"AMZN^FE_ESTIMATE(DEP_AMORT_EXP,MEAN,ANN_ROLL,2023,NOW,,,'')":44728.72,"AMZN^FE_ESTIMATE(DEP_AMORT_EXP,MEAN,ANN_ROLL,2024,NOW,,,'')":52136.97,"AMZN^FE_ESTIMATE(DEP_AMORT_EXP,MEAN,ANN_ROLL,2025,NOW,,,'')":55507.54,"AMZN^FE_ESTIMATE(DEP_AMORT_EXP,MEAN,ANN_ROLL,2026,NOW,,,'')":58234.55,"AMZN^FE_ESTIMATE(DEP_AMORT_EXP,MEAN,ANN_ROLL,2027,NOW,,,'')":64625.0,"AMZN^FE_ESTIMATE(CAPEX,MEAN,ANN_ROLL,2022,NOW,,,'')":61050.723,"AMZN^FE_ESTIMATE(CAPEX,MEAN,ANN_ROLL,2023,NOW,,,'')":62598.887,"AMZN^FE_ESTIMATE(CAPEX,MEAN,ANN_ROLL,2024,NOW,,,'')":64481.453,"AMZN^FE_ESTIMATE(CAPEX,MEAN,ANN_ROLL,2025,NOW,,,'')":69493.41,"AMZN^FE_ESTIMATE(CAPEX,MEAN,ANN_ROLL,2026,NOW,,,'')":65697.0,"AMZN^FE_ESTIMATE(CAPEX,MEAN,ANN_ROLL,2027,NOW,,,'')":69051.93}]]></FdsFormulaCache>
</file>

<file path=customXml/itemProps1.xml><?xml version="1.0" encoding="utf-8"?>
<ds:datastoreItem xmlns:ds="http://schemas.openxmlformats.org/officeDocument/2006/customXml" ds:itemID="{E31867ED-E0CB-4B24-9FF6-427644D0E7B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11B3DE4-1D2D-41B1-AFF1-87866EF7E7A5}">
  <ds:schemaRefs>
    <ds:schemaRef ds:uri="urn:fdsformulacach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DCF</vt:lpstr>
      <vt:lpstr>WACC</vt:lpstr>
      <vt:lpstr>CAPM</vt:lpstr>
      <vt:lpstr>IS</vt:lpstr>
      <vt:lpstr>BS</vt:lpstr>
      <vt:lpstr>Vostok_Production</vt:lpstr>
      <vt:lpstr>Oil_assumptions</vt:lpstr>
      <vt:lpstr>FX_Data</vt:lpstr>
      <vt:lpstr>DCF!tgr</vt:lpstr>
      <vt:lpstr>DCF!wacc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Chon</dc:creator>
  <cp:lastModifiedBy>Xavier Aliaga</cp:lastModifiedBy>
  <dcterms:created xsi:type="dcterms:W3CDTF">2022-06-12T18:45:32Z</dcterms:created>
  <dcterms:modified xsi:type="dcterms:W3CDTF">2026-09-24T17:29:10Z</dcterms:modified>
</cp:coreProperties>
</file>